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5880" windowHeight="6600" tabRatio="946" firstSheet="1" activeTab="1"/>
  </bookViews>
  <sheets>
    <sheet name="0000" sheetId="1" state="veryHidden" r:id="rId1"/>
    <sheet name="F-1" sheetId="2" r:id="rId2"/>
    <sheet name="F-2" sheetId="3" r:id="rId3"/>
    <sheet name="F-3" sheetId="4" r:id="rId4"/>
    <sheet name="F-4" sheetId="5" r:id="rId5"/>
    <sheet name="F-6" sheetId="6" r:id="rId6"/>
    <sheet name="F-5" sheetId="7" r:id="rId7"/>
    <sheet name="F-7" sheetId="8" r:id="rId8"/>
    <sheet name="F-8" sheetId="9" r:id="rId9"/>
    <sheet name="F-9" sheetId="10" r:id="rId10"/>
    <sheet name="F-10" sheetId="11" r:id="rId11"/>
    <sheet name="F-11" sheetId="12" r:id="rId12"/>
    <sheet name="F-12" sheetId="13" r:id="rId13"/>
    <sheet name="F-13" sheetId="14" r:id="rId14"/>
    <sheet name="F-14" sheetId="15" r:id="rId15"/>
    <sheet name="F-15" sheetId="16" r:id="rId16"/>
    <sheet name="F-16" sheetId="17" r:id="rId17"/>
    <sheet name="F-17" sheetId="18" r:id="rId18"/>
    <sheet name="F-18" sheetId="19" r:id="rId19"/>
    <sheet name="F-19" sheetId="20" r:id="rId20"/>
    <sheet name="Pool Cost" sheetId="21" r:id="rId21"/>
    <sheet name="Cash Working" sheetId="22" r:id="rId22"/>
    <sheet name="Sheet1" sheetId="23" r:id="rId23"/>
  </sheets>
  <externalReferences>
    <externalReference r:id="rId26"/>
    <externalReference r:id="rId27"/>
    <externalReference r:id="rId28"/>
  </externalReferences>
  <definedNames>
    <definedName name="aaaa" hidden="1">{"P-n-L and CF Statement",#N/A,FALSE,"Slides";"Cash Coevrage",#N/A,FALSE,"Slides";"Tariff Hikes Required",#N/A,FALSE,"Slides";"Major Assumptions",#N/A,FALSE,"Slides"}</definedName>
    <definedName name="abc" hidden="1">{"P-n-L and CF Statement",#N/A,FALSE,"Slides";"Cash Coevrage",#N/A,FALSE,"Slides";"Tariff Hikes Required",#N/A,FALSE,"Slides";"Major Assumptions",#N/A,FALSE,"Slides"}</definedName>
    <definedName name="bond">#REF!</definedName>
    <definedName name="ccc" hidden="1">{"P-n-L and CF Statement",#N/A,FALSE,"Slides";"Cash Coevrage",#N/A,FALSE,"Slides";"Tariff Hikes Required",#N/A,FALSE,"Slides";"Major Assumptions",#N/A,FALSE,"Slides"}</definedName>
    <definedName name="ckb" hidden="1">{"P-n-L and CF Statement",#N/A,FALSE,"Slides";"Cash Coevrage",#N/A,FALSE,"Slides";"Tariff Hikes Required",#N/A,FALSE,"Slides";"Major Assumptions",#N/A,FALSE,"Slides"}</definedName>
    <definedName name="ddd" hidden="1">{"P-n-L and CF Statement",#N/A,FALSE,"Slides";"Cash Coevrage",#N/A,FALSE,"Slides";"Tariff Hikes Required",#N/A,FALSE,"Slides";"Major Assumptions",#N/A,FALSE,"Slides"}</definedName>
    <definedName name="dddd" hidden="1">{"P-n-L and CF Statement",#N/A,FALSE,"Slides";"Cash Coevrage",#N/A,FALSE,"Slides";"Tariff Hikes Required",#N/A,FALSE,"Slides";"Major Assumptions",#N/A,FALSE,"Slides"}</definedName>
    <definedName name="Debtors">#REF!</definedName>
    <definedName name="dffs" hidden="1">{"P-n-L and CF Statement",#N/A,FALSE,"Slides";"Cash Coevrage",#N/A,FALSE,"Slides";"Tariff Hikes Required",#N/A,FALSE,"Slides";"Major Assumptions",#N/A,FALSE,"Slides"}</definedName>
    <definedName name="DFSDFSD" hidden="1">{"P-n-L and CF Statement",#N/A,FALSE,"Slides";"Cash Coevrage",#N/A,FALSE,"Slides";"Tariff Hikes Required",#N/A,FALSE,"Slides";"Major Assumptions",#N/A,FALSE,"Slides"}</definedName>
    <definedName name="DFSFSFSD" hidden="1">{"P-n-L and CF Statement",#N/A,FALSE,"Slides";"Cash Coevrage",#N/A,FALSE,"Slides";"Tariff Hikes Required",#N/A,FALSE,"Slides";"Major Assumptions",#N/A,FALSE,"Slides"}</definedName>
    <definedName name="DGDG" hidden="1">{"P-n-L and CF Statement",#N/A,FALSE,"Slides";"Cash Coevrage",#N/A,FALSE,"Slides";"Tariff Hikes Required",#N/A,FALSE,"Slides";"Major Assumptions",#N/A,FALSE,"Slides"}</definedName>
    <definedName name="FSFS" hidden="1">{"P-n-L and CF Statement",#N/A,FALSE,"Slides";"Cash Coevrage",#N/A,FALSE,"Slides";"Tariff Hikes Required",#N/A,FALSE,"Slides";"Major Assumptions",#N/A,FALSE,"Slides"}</definedName>
    <definedName name="fsss" hidden="1">{"P-n-L and CF Statement",#N/A,FALSE,"Slides";"Cash Coevrage",#N/A,FALSE,"Slides";"Tariff Hikes Required",#N/A,FALSE,"Slides";"Major Assumptions",#N/A,FALSE,"Slides"}</definedName>
    <definedName name="GHDRGD" hidden="1">{"P-n-L and CF Statement",#N/A,FALSE,"Slides";"Cash Coevrage",#N/A,FALSE,"Slides";"Tariff Hikes Required",#N/A,FALSE,"Slides";"Major Assumptions",#N/A,FALSE,"Slides"}</definedName>
    <definedName name="ghf" hidden="1">{"P-n-L and CF Statement",#N/A,FALSE,"Slides";"Cash Coevrage",#N/A,FALSE,"Slides";"Tariff Hikes Required",#N/A,FALSE,"Slides";"Major Assumptions",#N/A,FALSE,"Slides"}</definedName>
    <definedName name="h" hidden="1">{"P-n-L and CF Statement",#N/A,FALSE,"Slides";"Cash Coevrage",#N/A,FALSE,"Slides";"Tariff Hikes Required",#N/A,FALSE,"Slides";"Major Assumptions",#N/A,FALSE,"Slides"}</definedName>
    <definedName name="Loss">#REF!</definedName>
    <definedName name="_xlnm.Print_Area" localSheetId="1">'F-1'!$A$1:$E$33</definedName>
    <definedName name="_xlnm.Print_Area" localSheetId="10">'F-10'!$A$1:$F$11</definedName>
    <definedName name="_xlnm.Print_Area" localSheetId="11">'F-11'!$A$1:$F$44</definedName>
    <definedName name="_xlnm.Print_Area" localSheetId="13">'F-13'!$A$1:$AC$13</definedName>
    <definedName name="_xlnm.Print_Area" localSheetId="14">'F-14'!$A$1:$E$11</definedName>
    <definedName name="_xlnm.Print_Area" localSheetId="15">'F-15'!$A$1:$E$36</definedName>
    <definedName name="_xlnm.Print_Area" localSheetId="16">'F-16'!$A$1:$E$33</definedName>
    <definedName name="_xlnm.Print_Area" localSheetId="17">'F-17'!$A$1:$U$31</definedName>
    <definedName name="_xlnm.Print_Area" localSheetId="18">'F-18'!$A$1:$K$17</definedName>
    <definedName name="_xlnm.Print_Area" localSheetId="19">'F-19'!$A$1:$H$47</definedName>
    <definedName name="_xlnm.Print_Area" localSheetId="2">'F-2'!$A$1:$W$71</definedName>
    <definedName name="_xlnm.Print_Area" localSheetId="3">'F-3'!$A$1:$F$21</definedName>
    <definedName name="_xlnm.Print_Area" localSheetId="4">'F-4'!$A$1:$E$27</definedName>
    <definedName name="_xlnm.Print_Area" localSheetId="6">'F-5'!$A$1:$E$39</definedName>
    <definedName name="_xlnm.Print_Area" localSheetId="5">'F-6'!$A$1:$E$22</definedName>
    <definedName name="_xlnm.Print_Area" localSheetId="7">'F-7'!$A$1:$N$69</definedName>
    <definedName name="_xlnm.Print_Area" localSheetId="8">'F-8'!$A$1:$N$16</definedName>
    <definedName name="_xlnm.Print_Titles" localSheetId="13">'F-13'!$A:$B</definedName>
    <definedName name="_xlnm.Print_Titles" localSheetId="2">'F-2'!$1:$7</definedName>
    <definedName name="_xlnm.Print_Titles" localSheetId="7">'F-7'!$1:$3</definedName>
    <definedName name="_xlnm.Print_Titles" localSheetId="8">'F-8'!$1:$3</definedName>
    <definedName name="_xlnm.Print_Titles" localSheetId="20">'Pool Cost'!$1:$3</definedName>
    <definedName name="sdfsdf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sds" hidden="1">{"P-n-L and CF Statement",#N/A,FALSE,"Slides";"Cash Coevrage",#N/A,FALSE,"Slides";"Tariff Hikes Required",#N/A,FALSE,"Slides";"Major Assumptions",#N/A,FALSE,"Slides"}</definedName>
    <definedName name="ssd" hidden="1">{"P-n-L and CF Statement",#N/A,FALSE,"Slides";"Cash Coevrage",#N/A,FALSE,"Slides";"Tariff Hikes Required",#N/A,FALSE,"Slides";"Major Assumptions",#N/A,FALSE,"Slides"}</definedName>
    <definedName name="sss" hidden="1">{"P-n-L and CF Statement",#N/A,FALSE,"Slides";"Cash Coevrage",#N/A,FALSE,"Slides";"Tariff Hikes Required",#N/A,FALSE,"Slides";"Major Assumptions",#N/A,FALSE,"Slides"}</definedName>
    <definedName name="Tariff">#REF!</definedName>
    <definedName name="TarrGrowth">#REF!</definedName>
    <definedName name="wrn.Back._.To._.Back._.Loan._.Repayment._.Schedule." hidden="1">{#N/A,#N/A,TRUE,"98-99";#N/A,#N/A,TRUE,"Revised int. rate up to 98-99";#N/A,#N/A,TRUE,"Comparative(Cesco)-1(98-99Loan)";#N/A,#N/A,TRUE,"Comparative(Cesco)-2(98-99Loan)";#N/A,#N/A,TRUE,"Comparative(Nesco)-1(98-99Loan)";#N/A,#N/A,TRUE,"Comparative(Nesco)-2(98-99Loan)";#N/A,#N/A,TRUE,"Compara.(Southco)-1(98-99Loan)";#N/A,#N/A,TRUE,"Compara.(Southco)-2(98-99Loan)";#N/A,#N/A,TRUE,"Comparative(Wesco)-1(98-99Loan)";#N/A,#N/A,TRUE,"Comparative(Wesco)-2(98-99Loan)";#N/A,#N/A,TRUE,"BSES-Option1";#N/A,#N/A,TRUE,"BSES-Option2";#N/A,#N/A,TRUE,"99-00 addtions and revised int.";#N/A,#N/A,TRUE,"Cesco repayment-(99-00 loan)";#N/A,#N/A,TRUE,"Cesco repayment-(99-00 loan)-2";#N/A,#N/A,TRUE,"Nesco repayment-(99-00 loan)";#N/A,#N/A,TRUE,"Nesco repayment-(99-00 loan)-2";#N/A,#N/A,TRUE,"Southco repayment-(99-00 loan)";#N/A,#N/A,TRUE,"Southco repayment(99-00 loan)-2";#N/A,#N/A,TRUE,"Wesco repayment(99-00 loan)";#N/A,#N/A,TRUE,"Wesco repayment(99-00 loan)-2";#N/A,#N/A,TRUE,"BSES99-00-Option-1";#N/A,#N/A,TRUE,"BSES99-00-Option-2";#N/A,#N/A,TRUE,"00-01 additions";#N/A,#N/A,TRUE,"Cesco repayment-(00-01 loan)-1";#N/A,#N/A,TRUE,"Cesco repayment-(00-01 loan)-2";#N/A,#N/A,TRUE,"Nesco repayment-(00-01 loan)-1";#N/A,#N/A,TRUE,"Nesco repayment-(00-01 loan)-2";#N/A,#N/A,TRUE,"Southco repayment(00-01 loan)-1";#N/A,#N/A,TRUE,"Southco repayment(00-01 loan)-2";#N/A,#N/A,TRUE,"Wesco repayment-(00-01 loan)-1";#N/A,#N/A,TRUE,"Wesco repayment-(00-01 loan)-2";#N/A,#N/A,TRUE,"BSES repayment-(00-01 loan)-1";#N/A,#N/A,TRUE,"BSES repayment-(00-01 loan)-2";#N/A,#N/A,TRUE,"Inflow-Outflow Statement-1";#N/A,#N/A,TRUE,"Inflow-Outflow Statement-2"}</definedName>
    <definedName name="wrn.Report._.for._.DfID_Aug6." hidden="1">{"P-n-L and CF Statement",#N/A,FALSE,"Slides";"Cash Coevrage",#N/A,FALSE,"Slides";"Tariff Hikes Required",#N/A,FALSE,"Slides";"Major Assumptions",#N/A,FALSE,"Slides"}</definedName>
    <definedName name="xx">#REF!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FBT
</t>
        </r>
      </text>
    </comment>
  </commentList>
</comments>
</file>

<file path=xl/comments15.xml><?xml version="1.0" encoding="utf-8"?>
<comments xmlns="http://schemas.openxmlformats.org/spreadsheetml/2006/main">
  <authors>
    <author>revenue GRIDCO</author>
  </authors>
  <commentList>
    <comment ref="D8" authorId="0">
      <text>
        <r>
          <rPr>
            <b/>
            <sz val="8"/>
            <rFont val="Tahoma"/>
            <family val="2"/>
          </rPr>
          <t>revenue GRIDCO:</t>
        </r>
        <r>
          <rPr>
            <sz val="8"/>
            <rFont val="Tahoma"/>
            <family val="2"/>
          </rPr>
          <t xml:space="preserve">
For super cyclone</t>
        </r>
      </text>
    </comment>
  </commentList>
</comments>
</file>

<file path=xl/comments16.xml><?xml version="1.0" encoding="utf-8"?>
<comments xmlns="http://schemas.openxmlformats.org/spreadsheetml/2006/main">
  <authors>
    <author>IT CENTRE</author>
  </authors>
  <commentList>
    <comment ref="B28" authorId="0">
      <text>
        <r>
          <rPr>
            <b/>
            <sz val="8"/>
            <rFont val="Tahoma"/>
            <family val="2"/>
          </rPr>
          <t>IT CENTRE:</t>
        </r>
        <r>
          <rPr>
            <sz val="8"/>
            <rFont val="Tahoma"/>
            <family val="2"/>
          </rPr>
          <t xml:space="preserve">
to Staff</t>
        </r>
      </text>
    </comment>
  </commentList>
</comments>
</file>

<file path=xl/sharedStrings.xml><?xml version="1.0" encoding="utf-8"?>
<sst xmlns="http://schemas.openxmlformats.org/spreadsheetml/2006/main" count="1141" uniqueCount="642">
  <si>
    <t>Opening Balance</t>
  </si>
  <si>
    <t>Capital subsidy</t>
  </si>
  <si>
    <t>Revenue subsidy</t>
  </si>
  <si>
    <t>Grants If any</t>
  </si>
  <si>
    <t>MU</t>
  </si>
  <si>
    <t>Power Procurement Cost</t>
  </si>
  <si>
    <t>Leave Travel Concession</t>
  </si>
  <si>
    <t>CESU</t>
  </si>
  <si>
    <t>UI Charges</t>
  </si>
  <si>
    <t xml:space="preserve">Sub-Total </t>
  </si>
  <si>
    <t xml:space="preserve">sub-Total </t>
  </si>
  <si>
    <t xml:space="preserve">Loan </t>
  </si>
  <si>
    <t>Misc.</t>
  </si>
  <si>
    <t>OD Availed</t>
  </si>
  <si>
    <t>Total Cash Inflow</t>
  </si>
  <si>
    <t>Cash Outflow</t>
  </si>
  <si>
    <t>Empoyees Cost</t>
  </si>
  <si>
    <t>Loan Repayment</t>
  </si>
  <si>
    <t>Interest &amp; Financial Charges</t>
  </si>
  <si>
    <t xml:space="preserve">Misc </t>
  </si>
  <si>
    <t xml:space="preserve">OD paid </t>
  </si>
  <si>
    <t>Total Cash Outflow</t>
  </si>
  <si>
    <t>%</t>
  </si>
  <si>
    <t>Return on Equity</t>
  </si>
  <si>
    <t>Plant and  Machinery (Air Cond. )</t>
  </si>
  <si>
    <t>Computers</t>
  </si>
  <si>
    <t>Revenue recognised as Regulatory Asset</t>
  </si>
  <si>
    <t>D</t>
  </si>
  <si>
    <t>C</t>
  </si>
  <si>
    <t>E</t>
  </si>
  <si>
    <t>F</t>
  </si>
  <si>
    <t>Sub-total</t>
  </si>
  <si>
    <t>Grand Total</t>
  </si>
  <si>
    <t>Total (A+B-C)</t>
  </si>
  <si>
    <t>Other Current Assets</t>
  </si>
  <si>
    <t>Principal</t>
  </si>
  <si>
    <t>Miscellaneous Expenditure to the extent not written off or adjusted</t>
  </si>
  <si>
    <t>Sl No</t>
  </si>
  <si>
    <t>Closing Balance</t>
  </si>
  <si>
    <t>Particulars</t>
  </si>
  <si>
    <t>Total</t>
  </si>
  <si>
    <t>Other Allowance</t>
  </si>
  <si>
    <t>Bonus</t>
  </si>
  <si>
    <t>Interim Relief to Staff</t>
  </si>
  <si>
    <t>Encashment of Earned Leave</t>
  </si>
  <si>
    <t>Honorarium</t>
  </si>
  <si>
    <t>Ex-gratia</t>
  </si>
  <si>
    <t>Miscellaneous</t>
  </si>
  <si>
    <t>Staff Welfare Expenses</t>
  </si>
  <si>
    <t>Terminal Benefits</t>
  </si>
  <si>
    <t xml:space="preserve"> </t>
  </si>
  <si>
    <t>Insurance</t>
  </si>
  <si>
    <t>Sub total :</t>
  </si>
  <si>
    <t>Courier Charges</t>
  </si>
  <si>
    <t>Other</t>
  </si>
  <si>
    <t xml:space="preserve">Legal expenses </t>
  </si>
  <si>
    <t>Consultancy charges</t>
  </si>
  <si>
    <t>Technical fees</t>
  </si>
  <si>
    <t>Audit fees</t>
  </si>
  <si>
    <t>Other charges</t>
  </si>
  <si>
    <t>Conveyance expenses</t>
  </si>
  <si>
    <t>Travelling expenses</t>
  </si>
  <si>
    <t>Hire charges of vehicle</t>
  </si>
  <si>
    <t>Others</t>
  </si>
  <si>
    <t>Fees &amp; Subscription</t>
  </si>
  <si>
    <t>Books &amp; Periodicals</t>
  </si>
  <si>
    <t>Printing &amp; Stationery</t>
  </si>
  <si>
    <t>Advertisement</t>
  </si>
  <si>
    <t>Entertainment</t>
  </si>
  <si>
    <t>Watch &amp; Ward</t>
  </si>
  <si>
    <t>Donation</t>
  </si>
  <si>
    <t>Training</t>
  </si>
  <si>
    <t>Interest</t>
  </si>
  <si>
    <t>Net prior period credit/charges &amp; others</t>
  </si>
  <si>
    <t xml:space="preserve">Particulars giving reference to the sanction of the appropriate authority </t>
  </si>
  <si>
    <t>Fixed Assets</t>
  </si>
  <si>
    <t>Gross Block</t>
  </si>
  <si>
    <t>Depreciation</t>
  </si>
  <si>
    <t>Net Block</t>
  </si>
  <si>
    <t>Vehicles</t>
  </si>
  <si>
    <t>Furniture, Fixture</t>
  </si>
  <si>
    <t>Office Equipment</t>
  </si>
  <si>
    <t>SOURCES OF FUNDS</t>
  </si>
  <si>
    <t>Shareholders’ Funds</t>
  </si>
  <si>
    <t>Share Capital</t>
  </si>
  <si>
    <t>Reserves and Surplus</t>
  </si>
  <si>
    <t>Loan Funds</t>
  </si>
  <si>
    <t>Secured Loans</t>
  </si>
  <si>
    <t>Unsecured Loans</t>
  </si>
  <si>
    <t>Other Funds</t>
  </si>
  <si>
    <t>Consumers’ Security Deposits</t>
  </si>
  <si>
    <t>Capital contributions from consumers</t>
  </si>
  <si>
    <t>APPLICATION OF FUNDS</t>
  </si>
  <si>
    <t>Less: Accumulated Depreciation</t>
  </si>
  <si>
    <t>Capital Work in Progress</t>
  </si>
  <si>
    <t>Investments</t>
  </si>
  <si>
    <t>Current Assets, Loans and Advances</t>
  </si>
  <si>
    <t>Loans and Advances</t>
  </si>
  <si>
    <t>Less: Current Liabilities and Provisions</t>
  </si>
  <si>
    <t>Profit &amp; Loss Account Debit Balance</t>
  </si>
  <si>
    <t>INCOME</t>
  </si>
  <si>
    <t>EXPENDITURE</t>
  </si>
  <si>
    <t>Statutory reserves and Appropriations</t>
  </si>
  <si>
    <t>Proposed Dividend</t>
  </si>
  <si>
    <t>Corporate Tax on Dividend</t>
  </si>
  <si>
    <t>Dearness Allowance</t>
  </si>
  <si>
    <t>Rs. in Crores</t>
  </si>
  <si>
    <t>A.</t>
  </si>
  <si>
    <t>B.</t>
  </si>
  <si>
    <t>C.</t>
  </si>
  <si>
    <t>Addition during the Year</t>
  </si>
  <si>
    <t>Sales/Adjustments during the year</t>
  </si>
  <si>
    <t>4=1+2-3</t>
  </si>
  <si>
    <t>8=5+6-7</t>
  </si>
  <si>
    <t>9=4-8</t>
  </si>
  <si>
    <t>A</t>
  </si>
  <si>
    <t>B</t>
  </si>
  <si>
    <t>Employees cost</t>
  </si>
  <si>
    <t>Admn. &amp; General Expenses</t>
  </si>
  <si>
    <t>Trading</t>
  </si>
  <si>
    <t>WESCO</t>
  </si>
  <si>
    <t>NESCO</t>
  </si>
  <si>
    <t>SOUTHCO</t>
  </si>
  <si>
    <t>Rs.Cr</t>
  </si>
  <si>
    <t>R &amp; M Cost</t>
  </si>
  <si>
    <t>Current  Liabilities</t>
  </si>
  <si>
    <t>Estimated Loan to bridge Cash Deficit including OD</t>
  </si>
  <si>
    <t>Other Cost</t>
  </si>
  <si>
    <t xml:space="preserve">Provisions </t>
  </si>
  <si>
    <t>H</t>
  </si>
  <si>
    <t>Aug.</t>
  </si>
  <si>
    <t>G</t>
  </si>
  <si>
    <t xml:space="preserve">Sundry Debtors </t>
  </si>
  <si>
    <t xml:space="preserve">Interest </t>
  </si>
  <si>
    <t>April</t>
  </si>
  <si>
    <t>May</t>
  </si>
  <si>
    <t>June</t>
  </si>
  <si>
    <t>July</t>
  </si>
  <si>
    <t>Sept.</t>
  </si>
  <si>
    <t>Oct.</t>
  </si>
  <si>
    <t>Nov.</t>
  </si>
  <si>
    <t>Dec.</t>
  </si>
  <si>
    <t>Jan.</t>
  </si>
  <si>
    <t>Feb.</t>
  </si>
  <si>
    <t>March</t>
  </si>
  <si>
    <t xml:space="preserve">Fixed Assets at the beginning of the year  </t>
  </si>
  <si>
    <t>Addition of Fixed Assets  during the year</t>
  </si>
  <si>
    <t>D.</t>
  </si>
  <si>
    <t xml:space="preserve">Fixed Assets at the end of the year  </t>
  </si>
  <si>
    <r>
      <t>Licencee :</t>
    </r>
    <r>
      <rPr>
        <sz val="12"/>
        <color indexed="8"/>
        <rFont val="Arial"/>
        <family val="2"/>
      </rPr>
      <t xml:space="preserve">  GRIDCO Limited</t>
    </r>
  </si>
  <si>
    <r>
      <t>Licencee :</t>
    </r>
    <r>
      <rPr>
        <sz val="11"/>
        <color indexed="8"/>
        <rFont val="Arial"/>
        <family val="2"/>
      </rPr>
      <t xml:space="preserve">  GRIDCO Limited</t>
    </r>
  </si>
  <si>
    <t>Repayment</t>
  </si>
  <si>
    <t>Received</t>
  </si>
  <si>
    <t>Due</t>
  </si>
  <si>
    <t>Paid</t>
  </si>
  <si>
    <t xml:space="preserve">Sale of Surplus Power (Trading &amp; UI) </t>
  </si>
  <si>
    <t>Unit</t>
  </si>
  <si>
    <t xml:space="preserve">Sale to DISCOMs </t>
  </si>
  <si>
    <t>Sale to CGPs</t>
  </si>
  <si>
    <t>Total Sales (3+4+5)</t>
  </si>
  <si>
    <t>EHT Loss in the system (7-6)</t>
  </si>
  <si>
    <t>Percentage of EHT Loss in the system</t>
  </si>
  <si>
    <t>Calculation of Cost per Unit</t>
  </si>
  <si>
    <t>Increamental Cost due to Other Cost Plus Cost of lost units</t>
  </si>
  <si>
    <t xml:space="preserve">Incremental  Cost per unit </t>
  </si>
  <si>
    <t>P/Kwh</t>
  </si>
  <si>
    <t>Power Purchase cost per Unit</t>
  </si>
  <si>
    <t>Total Cost per unit  with Profit</t>
  </si>
  <si>
    <t>Profit (Return on Equity) per unit</t>
  </si>
  <si>
    <r>
      <t>Licencee :</t>
    </r>
    <r>
      <rPr>
        <sz val="14"/>
        <color indexed="8"/>
        <rFont val="Arial"/>
        <family val="2"/>
      </rPr>
      <t xml:space="preserve">  GRIDCO Limited</t>
    </r>
  </si>
  <si>
    <t>Power Purchase Cost</t>
  </si>
  <si>
    <t>Rebate allowed to Custemer</t>
  </si>
  <si>
    <t>Rebate allowed to DISCOMs</t>
  </si>
  <si>
    <t xml:space="preserve">Gross revenue from DISCOMs </t>
  </si>
  <si>
    <t>Revenue from Emergency Sales to CGPs</t>
  </si>
  <si>
    <t>Revenue from Sale of Surplus power</t>
  </si>
  <si>
    <t>Revenue</t>
  </si>
  <si>
    <t>Expenditure</t>
  </si>
  <si>
    <t>DISCOMs</t>
  </si>
  <si>
    <t>Billing during the year</t>
  </si>
  <si>
    <t>Collection &amp; Adjustment  during the year</t>
  </si>
  <si>
    <t>Debtors Collection Period (No. of Days)</t>
  </si>
  <si>
    <t>Opening balance of Sundry Debtors</t>
  </si>
  <si>
    <t>Closing balance of Sundry Debtors  (1+2-3)</t>
  </si>
  <si>
    <t>Addition</t>
  </si>
  <si>
    <t xml:space="preserve">Redeemed </t>
  </si>
  <si>
    <t xml:space="preserve">Cl. Balance </t>
  </si>
  <si>
    <t>Op. Balance</t>
  </si>
  <si>
    <t>Authorised capital  (Rs. Crore)</t>
  </si>
  <si>
    <t>No of Shares @ Rs. 1000/- each</t>
  </si>
  <si>
    <t>Issued capital (Rs. Crore)</t>
  </si>
  <si>
    <t>Subscribed capital (Rs. Crore)</t>
  </si>
  <si>
    <t>Called-up capital (Rs. Crore)</t>
  </si>
  <si>
    <t>Paid up capital (Rs. Crore)</t>
  </si>
  <si>
    <t>Total paid up capital (Rs. Crore)</t>
  </si>
  <si>
    <r>
      <t>Licencee :</t>
    </r>
    <r>
      <rPr>
        <sz val="10"/>
        <color indexed="8"/>
        <rFont val="Arial"/>
        <family val="2"/>
      </rPr>
      <t xml:space="preserve">  GRIDCO Limited</t>
    </r>
  </si>
  <si>
    <t>Total Repair &amp; Maintenance</t>
  </si>
  <si>
    <t>Plant &amp; machinary (Air Conditioner)</t>
  </si>
  <si>
    <t xml:space="preserve">Vehicle </t>
  </si>
  <si>
    <t>Furniture &amp; Fixture</t>
  </si>
  <si>
    <t xml:space="preserve">Office equipment </t>
  </si>
  <si>
    <t>Rent, Rates &amp; Taxes</t>
  </si>
  <si>
    <t>Telephone &amp; Internet</t>
  </si>
  <si>
    <t xml:space="preserve">Postage,Telegram &amp; Courier </t>
  </si>
  <si>
    <t>Property Related Expenses</t>
  </si>
  <si>
    <t>Communications</t>
  </si>
  <si>
    <t>Professional Charges</t>
  </si>
  <si>
    <t>Conveyance &amp; Travelling</t>
  </si>
  <si>
    <t>Misc. Expenses</t>
  </si>
  <si>
    <t>Additions by way of appropriation</t>
  </si>
  <si>
    <t>Information for : Fixed Asset &amp; Depreciation</t>
  </si>
  <si>
    <r>
      <t>Licencee .…</t>
    </r>
    <r>
      <rPr>
        <sz val="14"/>
        <rFont val="Arial"/>
        <family val="2"/>
      </rPr>
      <t xml:space="preserve">GRIDCO Limited.                         </t>
    </r>
    <r>
      <rPr>
        <b/>
        <sz val="14"/>
        <rFont val="Arial"/>
        <family val="2"/>
      </rPr>
      <t xml:space="preserve">                             </t>
    </r>
  </si>
  <si>
    <t>Rate of Depreciation
(%)</t>
  </si>
  <si>
    <t>Note: No Subsidy or Grant has been received by GRIDCO or Expected to receive.</t>
  </si>
  <si>
    <t>Net Current Assets</t>
  </si>
  <si>
    <t xml:space="preserve">Cash and Bank Balances </t>
  </si>
  <si>
    <t>TOTAL (A)</t>
  </si>
  <si>
    <t>TOTAL (B)</t>
  </si>
  <si>
    <t>Revenue from DISCOMs</t>
  </si>
  <si>
    <t>Revenue from CGPs</t>
  </si>
  <si>
    <t xml:space="preserve">Revenue from Trading </t>
  </si>
  <si>
    <t>Revenue from UI</t>
  </si>
  <si>
    <t>Profit /(Loss) B/F from last year</t>
  </si>
  <si>
    <t>Revenue Expenditure</t>
  </si>
  <si>
    <t xml:space="preserve">Special Appropriation </t>
  </si>
  <si>
    <t>Sub-total (B)</t>
  </si>
  <si>
    <t>Gross Revenue Requirement (A+B)</t>
  </si>
  <si>
    <t>Arrear from DISCOMs</t>
  </si>
  <si>
    <t>Other receipts if any</t>
  </si>
  <si>
    <t>1.i</t>
  </si>
  <si>
    <t>1.ii</t>
  </si>
  <si>
    <t>1.iii</t>
  </si>
  <si>
    <t>Revenue Gap (A-B-C)</t>
  </si>
  <si>
    <t xml:space="preserve">Assumptions  </t>
  </si>
  <si>
    <t>Grade Pay</t>
  </si>
  <si>
    <t>Basic Pay</t>
  </si>
  <si>
    <t>House Rent Allowance</t>
  </si>
  <si>
    <t>Salary &amp; Allownce</t>
  </si>
  <si>
    <t>Additional Employee Cost</t>
  </si>
  <si>
    <t>Contractual Engagement</t>
  </si>
  <si>
    <t>Out Sources Engagement</t>
  </si>
  <si>
    <t>others if any</t>
  </si>
  <si>
    <t>Sub-total  (B)</t>
  </si>
  <si>
    <t>Sub-total  (A)</t>
  </si>
  <si>
    <t>Other Employee  Cost</t>
  </si>
  <si>
    <t>Medical Expenses (allowance+Reimbursement)</t>
  </si>
  <si>
    <t>Wage/Salary revision if any</t>
  </si>
  <si>
    <t>Sub-total  (C)</t>
  </si>
  <si>
    <t>Total Employees Cost  (A+B+C+D)</t>
  </si>
  <si>
    <t>Pension</t>
  </si>
  <si>
    <t>Gratuity</t>
  </si>
  <si>
    <t>Leave Salary</t>
  </si>
  <si>
    <t>Sub-total  (D)</t>
  </si>
  <si>
    <t>Over-time</t>
  </si>
  <si>
    <t>Other  (including contribution to NPS)</t>
  </si>
  <si>
    <t>Less: Employees Cost Capitalised</t>
  </si>
  <si>
    <t>Net Employee Cost ( E- F)</t>
  </si>
  <si>
    <t>Licence fees to OERC</t>
  </si>
  <si>
    <t xml:space="preserve">Misc. Receipts </t>
  </si>
  <si>
    <t>Sub-total (A)</t>
  </si>
  <si>
    <t xml:space="preserve"> Profit / (Loss) before tax other adjustment (A-B)</t>
  </si>
  <si>
    <t>Profit/(Loss) After Tax (C-D)</t>
  </si>
  <si>
    <t>Appropriation of Profit</t>
  </si>
  <si>
    <t>Sub-total (F)</t>
  </si>
  <si>
    <t>Profit/(Loss) Transferred to Balance Sheet (E-F)</t>
  </si>
  <si>
    <t>I</t>
  </si>
  <si>
    <t>Balance carried to Balance Sheet (G+H)</t>
  </si>
  <si>
    <t>OERC FORM  F-1</t>
  </si>
  <si>
    <t>OERC FORM F-2</t>
  </si>
  <si>
    <t>OERC FORM F-3</t>
  </si>
  <si>
    <t>OERC FORM F-4</t>
  </si>
  <si>
    <t xml:space="preserve">Loan Position </t>
  </si>
  <si>
    <t>Cost of Power</t>
  </si>
  <si>
    <t>Revenue Requirement</t>
  </si>
  <si>
    <t>OERC FORM F-6</t>
  </si>
  <si>
    <t>OERC FORM F-5</t>
  </si>
  <si>
    <t>Calculation of Revenue Gap</t>
  </si>
  <si>
    <t>Net Revenue from DISCOMs (1-2)</t>
  </si>
  <si>
    <t>Delayed Payment Surcharge</t>
  </si>
  <si>
    <t xml:space="preserve">Miscellaneous Receipts </t>
  </si>
  <si>
    <t>4.i.</t>
  </si>
  <si>
    <t>4.ii</t>
  </si>
  <si>
    <t>4.iii</t>
  </si>
  <si>
    <t>Revenue from Trading</t>
  </si>
  <si>
    <t>Revenue from UI Charges</t>
  </si>
  <si>
    <t>4.v</t>
  </si>
  <si>
    <t>4.iv</t>
  </si>
  <si>
    <t>4.vi</t>
  </si>
  <si>
    <t>4.vii</t>
  </si>
  <si>
    <t>Sub Total of 4</t>
  </si>
  <si>
    <t>Total of A (3+4)</t>
  </si>
  <si>
    <t>Total of  B</t>
  </si>
  <si>
    <t>Special Appropriation for prior period</t>
  </si>
  <si>
    <t>Amoritisation of Regulatory Assets</t>
  </si>
  <si>
    <t>Total of C</t>
  </si>
  <si>
    <t>Total of A</t>
  </si>
  <si>
    <t>Total of B</t>
  </si>
  <si>
    <t>Miscelleneous Receipts</t>
  </si>
  <si>
    <t>Net Revenue Requirement  (C-D)</t>
  </si>
  <si>
    <t>Sundry Debtors</t>
  </si>
  <si>
    <t>OERC FORM F-7</t>
  </si>
  <si>
    <t>Cash Flow Statement</t>
  </si>
  <si>
    <t>OERC FORM F-8</t>
  </si>
  <si>
    <t>Receipt From DISTCOMs</t>
  </si>
  <si>
    <t>Receipt From UI, Trading &amp; etc.</t>
  </si>
  <si>
    <t>Employees Cost</t>
  </si>
  <si>
    <t>OERC FORM F-9</t>
  </si>
  <si>
    <t>Repair &amp; Maintenance  Cost</t>
  </si>
  <si>
    <t>OERC FORM F-10</t>
  </si>
  <si>
    <t>OERC FORM F-11</t>
  </si>
  <si>
    <t>Administration &amp; General Expenses.</t>
  </si>
  <si>
    <t>Total A &amp; G Expenses (1 to 6)</t>
  </si>
  <si>
    <t>OERC FORM F-12</t>
  </si>
  <si>
    <t xml:space="preserve">Special Appropriations permitted by the Appropriate Authority </t>
  </si>
  <si>
    <t xml:space="preserve">FROM F-13 (page-1)  </t>
  </si>
  <si>
    <t>Fixed Asset &amp; Depreciation</t>
  </si>
  <si>
    <t xml:space="preserve">FROM F-13 (page-2)  </t>
  </si>
  <si>
    <t>OERC FORM F-14</t>
  </si>
  <si>
    <t>Subsidies and Grants</t>
  </si>
  <si>
    <t>OERC FORM F-15</t>
  </si>
  <si>
    <t>OERC FORM F-16</t>
  </si>
  <si>
    <t>Profit &amp; Loss Accounts for the year end</t>
  </si>
  <si>
    <t>OERC Form F-17</t>
  </si>
  <si>
    <t>License:            GRIDCO  Limited</t>
  </si>
  <si>
    <t>Escrow relaxations to DISCOMs</t>
  </si>
  <si>
    <t>( Rs in Crore)</t>
  </si>
  <si>
    <t>Month</t>
  </si>
  <si>
    <t xml:space="preserve">CESU </t>
  </si>
  <si>
    <t>GRAND TOTAL</t>
  </si>
  <si>
    <t>EC</t>
  </si>
  <si>
    <t>R&amp;M</t>
  </si>
  <si>
    <t>August</t>
  </si>
  <si>
    <t>September</t>
  </si>
  <si>
    <t>October</t>
  </si>
  <si>
    <t>November</t>
  </si>
  <si>
    <t>December</t>
  </si>
  <si>
    <t>January</t>
  </si>
  <si>
    <t>February</t>
  </si>
  <si>
    <t>R &amp; M</t>
  </si>
  <si>
    <t xml:space="preserve">The  Excrow relaxations during September-09 is including 40% 6th pay arrear due   to WESCO - Rs. 22.95 cr, NESCO - Rs. 22.00 cr, SOUTHCO - Rs. 21.27 cr  and CESU -Rs.33.00cr.  </t>
  </si>
  <si>
    <t>OERC Form F-18</t>
  </si>
  <si>
    <t>Revenue from Sale of Power (Trading &amp; UI)</t>
  </si>
  <si>
    <t xml:space="preserve">MU </t>
  </si>
  <si>
    <t>Rate P/U</t>
  </si>
  <si>
    <t>Amounts (Rs. Cr)</t>
  </si>
  <si>
    <t>Sale of  Power</t>
  </si>
  <si>
    <t>UI</t>
  </si>
  <si>
    <t>Sub-total  (1+2)</t>
  </si>
  <si>
    <t>Purchase of  of  Power</t>
  </si>
  <si>
    <t>Sub-total (4+5)</t>
  </si>
  <si>
    <t xml:space="preserve">Net Revenue </t>
  </si>
  <si>
    <t>Trading (1-4)</t>
  </si>
  <si>
    <t>UI (2-5)</t>
  </si>
  <si>
    <t>Sub-total (7+8)</t>
  </si>
  <si>
    <t>OERC Form F-19</t>
  </si>
  <si>
    <t xml:space="preserve">Outstanding against DISCOMs at the end of </t>
  </si>
  <si>
    <t>REL Total</t>
  </si>
  <si>
    <t>DISTCOs Total</t>
  </si>
  <si>
    <t>6 =4+5+6</t>
  </si>
  <si>
    <t>8 =6+7</t>
  </si>
  <si>
    <t>Bulk Supply  Price (BSP)</t>
  </si>
  <si>
    <t>Deferred Credit</t>
  </si>
  <si>
    <t xml:space="preserve">FROM F-13 (page-3)  </t>
  </si>
  <si>
    <t>Total Units Purchased</t>
  </si>
  <si>
    <t>Power Purchase Cost  due to loss in the system</t>
  </si>
  <si>
    <t>Receipt From Other Source</t>
  </si>
  <si>
    <t>Power Purchase (UI &amp; Trg) Cost</t>
  </si>
  <si>
    <t>Repair &amp; Maintenance Cost</t>
  </si>
  <si>
    <t xml:space="preserve">Power Purchase and Sale of Power </t>
  </si>
  <si>
    <t>Sources</t>
  </si>
  <si>
    <t>Net MU</t>
  </si>
  <si>
    <t>Rs/Unit</t>
  </si>
  <si>
    <t>Power Purchased</t>
  </si>
  <si>
    <t>OHPC</t>
  </si>
  <si>
    <t>Hirakud</t>
  </si>
  <si>
    <t>Balimela</t>
  </si>
  <si>
    <t>Rengali</t>
  </si>
  <si>
    <t>Upper Kolab</t>
  </si>
  <si>
    <t>Indravati</t>
  </si>
  <si>
    <t>Machakund</t>
  </si>
  <si>
    <t>OPGC</t>
  </si>
  <si>
    <t>NTPC</t>
  </si>
  <si>
    <t>TTPS</t>
  </si>
  <si>
    <t>KHSTP-I</t>
  </si>
  <si>
    <t>KHSTP-II</t>
  </si>
  <si>
    <t>TSTPS-I</t>
  </si>
  <si>
    <t>TSTPS-II</t>
  </si>
  <si>
    <t>UI Payable-TTPS</t>
  </si>
  <si>
    <t>CHUKHA &amp; TALA</t>
  </si>
  <si>
    <t>Chukka</t>
  </si>
  <si>
    <t>TALA</t>
  </si>
  <si>
    <t>TEESTA</t>
  </si>
  <si>
    <t>CGP</t>
  </si>
  <si>
    <t>NALCO</t>
  </si>
  <si>
    <t>ICCL</t>
  </si>
  <si>
    <t>JSPL</t>
  </si>
  <si>
    <t>SCAW Ind.-Narvenaram</t>
  </si>
  <si>
    <t>Jindal Stainless</t>
  </si>
  <si>
    <t>INDAL(Hindalco)</t>
  </si>
  <si>
    <t>RSP</t>
  </si>
  <si>
    <t>Naba Bharat( NBFA)</t>
  </si>
  <si>
    <t>Rathi</t>
  </si>
  <si>
    <t>FACOR</t>
  </si>
  <si>
    <t>Orissa Sponge Iron</t>
  </si>
  <si>
    <t>Sterlite Industries(Vedanta)-Jhar</t>
  </si>
  <si>
    <t>MSP Metalics</t>
  </si>
  <si>
    <t>IPP</t>
  </si>
  <si>
    <t>Sterlite -IPP</t>
  </si>
  <si>
    <t>Co-generation</t>
  </si>
  <si>
    <t>Sterlite Industries(Vedanta)-Lang</t>
  </si>
  <si>
    <t>ARATI STEELS</t>
  </si>
  <si>
    <t>TATA sponge</t>
  </si>
  <si>
    <t>KMCL/NINL</t>
  </si>
  <si>
    <t>BHUSAN S &amp; S(Meramuduli)</t>
  </si>
  <si>
    <t>SMC Power Gen. Ltd</t>
  </si>
  <si>
    <t>Pattnaik Steels</t>
  </si>
  <si>
    <t>Mahabir Ferro Alloys</t>
  </si>
  <si>
    <t>VISA Steel</t>
  </si>
  <si>
    <t>Shyam DRI Ltd</t>
  </si>
  <si>
    <t>IFFCO</t>
  </si>
  <si>
    <t>Action Ispat</t>
  </si>
  <si>
    <t>Aryan Ispat</t>
  </si>
  <si>
    <t>Maithan</t>
  </si>
  <si>
    <t>Renewable Energy</t>
  </si>
  <si>
    <t>PTC-Meenakshi</t>
  </si>
  <si>
    <t>PTC-OPCL(Samal)</t>
  </si>
  <si>
    <t>Solar</t>
  </si>
  <si>
    <t>Raj Ratan Solar Power</t>
  </si>
  <si>
    <t>S.N.Mohanty Solar Power</t>
  </si>
  <si>
    <t>MGM Solar Power</t>
  </si>
  <si>
    <t>Molisati Vinimaya</t>
  </si>
  <si>
    <t>Shri Mahavir Ferror Alloys</t>
  </si>
  <si>
    <t>Pan Time Finance Co.</t>
  </si>
  <si>
    <t>Jay Iron &amp; Steel Ltd</t>
  </si>
  <si>
    <t>Abacus Holding Pvt.Ltd</t>
  </si>
  <si>
    <t>J</t>
  </si>
  <si>
    <t>Biomass Energy</t>
  </si>
  <si>
    <t>Shalivan Green Energy</t>
  </si>
  <si>
    <t>K</t>
  </si>
  <si>
    <t>TRANS. CHARGES</t>
  </si>
  <si>
    <t>PGCIL Tranmission Cost</t>
  </si>
  <si>
    <t>L</t>
  </si>
  <si>
    <t>OTHER</t>
  </si>
  <si>
    <t>UI Payable-EREB</t>
  </si>
  <si>
    <t>Banking Power- Receive</t>
  </si>
  <si>
    <t>Trading through IEX &amp; PXIl</t>
  </si>
  <si>
    <t>Sale of Power</t>
  </si>
  <si>
    <t>DISTCOs</t>
  </si>
  <si>
    <t>CESCO</t>
  </si>
  <si>
    <t>Regulatory asset</t>
  </si>
  <si>
    <t xml:space="preserve">INTRA-STATE </t>
  </si>
  <si>
    <t>INTER _ STATE</t>
  </si>
  <si>
    <t>Transmission Loss (MU)</t>
  </si>
  <si>
    <t>Transmission Loss (%)</t>
  </si>
  <si>
    <t>GMR Kamalanga</t>
  </si>
  <si>
    <t>Yazdani Steel &amp; Power</t>
  </si>
  <si>
    <t>FSTPS-I&amp;II</t>
  </si>
  <si>
    <t>FSTPS-III</t>
  </si>
  <si>
    <t>Return of Power</t>
  </si>
  <si>
    <t>Loan Prior to 31-03-2008</t>
  </si>
  <si>
    <t>State Govt.(WCL)</t>
  </si>
  <si>
    <t>St.Govt (OPGC Adj.)</t>
  </si>
  <si>
    <t>NTPC (Govt.Bonds)</t>
  </si>
  <si>
    <t>Bond PF/99 (P.Trust)</t>
  </si>
  <si>
    <t>Union Bank of India- III</t>
  </si>
  <si>
    <t>Union Bank of India- IV</t>
  </si>
  <si>
    <t>Dena Bank  - II</t>
  </si>
  <si>
    <t>sub-total</t>
  </si>
  <si>
    <t>Availed During FY 2008-09</t>
  </si>
  <si>
    <t>Uco Bank -II (100 cr)</t>
  </si>
  <si>
    <t>Availed During FY 2009-10</t>
  </si>
  <si>
    <t>Union Bank STL- V</t>
  </si>
  <si>
    <t>Union Bank TL- VI</t>
  </si>
  <si>
    <t>Dena Bank  - III</t>
  </si>
  <si>
    <t>Andhra Bank-II</t>
  </si>
  <si>
    <t>Karnataka Bank_II-100cr</t>
  </si>
  <si>
    <t>Uco Bank -III (100 cr)</t>
  </si>
  <si>
    <t>Uco Bank -IV (200 cr)</t>
  </si>
  <si>
    <t>Canara -I_100 cr TL</t>
  </si>
  <si>
    <t>Canara -II _100 cr TL</t>
  </si>
  <si>
    <t>Kalinga GB -50 cr</t>
  </si>
  <si>
    <t>Karur Vbank_I - 50 cr</t>
  </si>
  <si>
    <t>Availed During FY 2010-11</t>
  </si>
  <si>
    <t>Allahabad Bank - IV</t>
  </si>
  <si>
    <t>Syndicate Bank-II_200cr</t>
  </si>
  <si>
    <t>Canara -III _200 cr TL</t>
  </si>
  <si>
    <t>Karur Vbank_II - 50 cr</t>
  </si>
  <si>
    <t>Bank of India _100cr_I</t>
  </si>
  <si>
    <t>Bank of India _200cr_II</t>
  </si>
  <si>
    <t>Cental Bank_I - 100 cr</t>
  </si>
  <si>
    <t>Andhra Bank_III_2010-12</t>
  </si>
  <si>
    <t>IOB _I - 200_2010-11</t>
  </si>
  <si>
    <t>Availed During FY 2011-12</t>
  </si>
  <si>
    <t>Union Bank-FDR Loan</t>
  </si>
  <si>
    <t>Union Bank - SOD</t>
  </si>
  <si>
    <t>Availed During FY 2012-13</t>
  </si>
  <si>
    <t>Real Growth PPB_2012-50cr</t>
  </si>
  <si>
    <t>Andhra Bank-FDR Loan</t>
  </si>
  <si>
    <t>GRIDCO Bond_2013-127.50cr</t>
  </si>
  <si>
    <t>Availed During FY 2013-14</t>
  </si>
  <si>
    <t>Opening Bal.</t>
  </si>
  <si>
    <t>Closing Bal.</t>
  </si>
  <si>
    <t>Govt Guarantee Loan</t>
  </si>
  <si>
    <t>Securred</t>
  </si>
  <si>
    <t>Unsecurred</t>
  </si>
  <si>
    <t>Deletion of Fixed Assets  during the year</t>
  </si>
  <si>
    <t>5% of Basic+GP</t>
  </si>
  <si>
    <t>15% of Basic+GP</t>
  </si>
  <si>
    <t>assuming 16% DA p.a.</t>
  </si>
  <si>
    <t xml:space="preserve">Electricity </t>
  </si>
  <si>
    <t xml:space="preserve">                  </t>
  </si>
  <si>
    <t>OB as on 
01-04-2013</t>
  </si>
  <si>
    <t>CB as on
31-03-2014</t>
  </si>
  <si>
    <t xml:space="preserve"> as on
31-03-2014</t>
  </si>
  <si>
    <t>OB as on 
01-04-2014</t>
  </si>
  <si>
    <t>CB as on
31-03-2015</t>
  </si>
  <si>
    <t xml:space="preserve"> as on
31-03-2015</t>
  </si>
  <si>
    <r>
      <t xml:space="preserve">Balance Sheet </t>
    </r>
    <r>
      <rPr>
        <b/>
        <sz val="11"/>
        <color indexed="8"/>
        <rFont val="Arial"/>
        <family val="2"/>
      </rPr>
      <t>as at 31st March</t>
    </r>
  </si>
  <si>
    <t>BHUSAN S &amp; P(Budhipadar)</t>
  </si>
  <si>
    <t>Sevenstar</t>
  </si>
  <si>
    <t>NTPC Solar (NVVNL)</t>
  </si>
  <si>
    <t>Dadri Solar</t>
  </si>
  <si>
    <t>Sri Ganesh</t>
  </si>
  <si>
    <t>SLDC UI Charges</t>
  </si>
  <si>
    <t xml:space="preserve">Note: No Special Appropriations permitted by the Appropriate Authority </t>
  </si>
  <si>
    <t>Cash Flow Working</t>
  </si>
  <si>
    <t>Receipts</t>
  </si>
  <si>
    <t>Loan Additions</t>
  </si>
  <si>
    <t>Receipt from sale</t>
  </si>
  <si>
    <t>short term loan &amp; other</t>
  </si>
  <si>
    <t>Payments</t>
  </si>
  <si>
    <t>Loan Repayments (incl.Int)</t>
  </si>
  <si>
    <t>Power purchase</t>
  </si>
  <si>
    <t>O &amp; M Expenditures</t>
  </si>
  <si>
    <t>Net Balance</t>
  </si>
  <si>
    <t>Open.Balance</t>
  </si>
  <si>
    <t>Workings</t>
  </si>
  <si>
    <t>Loans</t>
  </si>
  <si>
    <t>OB</t>
  </si>
  <si>
    <t>Cash</t>
  </si>
  <si>
    <t>Additions</t>
  </si>
  <si>
    <t>Repayments</t>
  </si>
  <si>
    <t>CB</t>
  </si>
  <si>
    <t>P/L</t>
  </si>
  <si>
    <t>Sundry debtors</t>
  </si>
  <si>
    <t>Realisation</t>
  </si>
  <si>
    <t>Current Liabilities &amp; Prov</t>
  </si>
  <si>
    <t>other</t>
  </si>
  <si>
    <t>During the year</t>
  </si>
  <si>
    <t>Payment -Power Purchase</t>
  </si>
  <si>
    <t>Payment -Other</t>
  </si>
  <si>
    <t>Outstandings (CB)</t>
  </si>
  <si>
    <t>ROE</t>
  </si>
  <si>
    <t>Amortisation  of Regulatory Assets</t>
  </si>
  <si>
    <t>Less : Amortised</t>
  </si>
  <si>
    <t>Balance in Loan &amp; Advance head</t>
  </si>
  <si>
    <t>2014-15</t>
  </si>
  <si>
    <t xml:space="preserve">Pass throuhg-of 1/3rd  Arrear of  TTPS </t>
  </si>
  <si>
    <t>Pass throuhg arrear of  NTPC ER Stations</t>
  </si>
  <si>
    <t>1.iv</t>
  </si>
  <si>
    <t>Pass throgh of  Power Purchase and Other Costs</t>
  </si>
  <si>
    <t>1.v</t>
  </si>
  <si>
    <t>Arrear PoC Charges payable to PGCIL</t>
  </si>
  <si>
    <t>1.vi</t>
  </si>
  <si>
    <t>Arrear Salary revision Charges towardsTeesta-V</t>
  </si>
  <si>
    <t>2013-14(Actual)</t>
  </si>
  <si>
    <t>2014-15(Actual for Apr-Sep)</t>
  </si>
  <si>
    <t>Projected for Oct 14- Mar15</t>
  </si>
  <si>
    <t>Total Projection for                    FY 2014-15</t>
  </si>
  <si>
    <t>2015-16(Estimatted)</t>
  </si>
  <si>
    <t xml:space="preserve"> Previous Year (FY 2013-14)</t>
  </si>
  <si>
    <t xml:space="preserve"> Current Year  (FY 2014-15)</t>
  </si>
  <si>
    <t xml:space="preserve"> Ensuing Year (FY 2015-16)</t>
  </si>
  <si>
    <t>Preveious Year
(FY 2013-14)</t>
  </si>
  <si>
    <t>Current Year
(FY 2014-15)</t>
  </si>
  <si>
    <t xml:space="preserve"> Ensuing  Year
(FY 2015-16)</t>
  </si>
  <si>
    <t>Previous Year (FY 2013-14)</t>
  </si>
  <si>
    <t>Current Year (FY 2014-15)</t>
  </si>
  <si>
    <t>Ensuing Year (FY 2015-16)</t>
  </si>
  <si>
    <t>Previous Year  (FY 2013-14)</t>
  </si>
  <si>
    <t>Current  Year FY (2014-15)</t>
  </si>
  <si>
    <t>OB as on 
01-04-2015</t>
  </si>
  <si>
    <t>CB as on
31-03-2016</t>
  </si>
  <si>
    <t xml:space="preserve"> as on
31-03-2016</t>
  </si>
  <si>
    <t>Previous Year  FY 2013-14</t>
  </si>
  <si>
    <t>Current Year  FY 2014-15  (upto 30-09-2014)</t>
  </si>
  <si>
    <t>Union Bank- VII_100_2010-12</t>
  </si>
  <si>
    <t>Canara_IV -100_2010-11</t>
  </si>
  <si>
    <t>Bond PF/2012 (140 cr)</t>
  </si>
  <si>
    <t>Odisha Gramya Bank_II_136cr</t>
  </si>
  <si>
    <t>Bank of India_III_100 cr</t>
  </si>
  <si>
    <t>TOTAL (A+B+..+G)</t>
  </si>
  <si>
    <t>OMC TL_500cr_2012-14</t>
  </si>
  <si>
    <t>OCL</t>
  </si>
  <si>
    <t>Dinabandhu S &amp; P</t>
  </si>
  <si>
    <t>Aditya ALU Ltd.</t>
  </si>
  <si>
    <r>
      <rPr>
        <b/>
        <sz val="10"/>
        <rFont val="Arial"/>
        <family val="2"/>
      </rPr>
      <t xml:space="preserve">Add: </t>
    </r>
    <r>
      <rPr>
        <sz val="10"/>
        <rFont val="Arial"/>
        <family val="2"/>
      </rPr>
      <t xml:space="preserve"> Financial Charges </t>
    </r>
  </si>
  <si>
    <r>
      <rPr>
        <b/>
        <sz val="10"/>
        <rFont val="Arial"/>
        <family val="2"/>
      </rPr>
      <t xml:space="preserve">Add: </t>
    </r>
    <r>
      <rPr>
        <sz val="10"/>
        <rFont val="Arial"/>
        <family val="2"/>
      </rPr>
      <t xml:space="preserve"> Rebate to Customer</t>
    </r>
  </si>
  <si>
    <t xml:space="preserve">Grand Total (A to H) </t>
  </si>
  <si>
    <r>
      <t xml:space="preserve">Rate of int. (%)
</t>
    </r>
    <r>
      <rPr>
        <b/>
        <sz val="8"/>
        <rFont val="Arial"/>
        <family val="2"/>
      </rPr>
      <t>30-09-14</t>
    </r>
  </si>
  <si>
    <t>10% consider for promotional effect</t>
  </si>
  <si>
    <t>30% of Basic+GP</t>
  </si>
  <si>
    <t>Assuming Annual escalation @15% over the previous year Expenses except Licence Fees and ERPC  Membership Fees</t>
  </si>
  <si>
    <t>ERLDC / ERPC Membership Fees &amp; Funds</t>
  </si>
  <si>
    <t>Preveious Year  (FY 2013-14)</t>
  </si>
  <si>
    <t>Current Year  (FY 2014-15)</t>
  </si>
  <si>
    <t xml:space="preserve"> Ensuing  Year  (FY 2015-16)</t>
  </si>
  <si>
    <t>PTC (NDPL)</t>
  </si>
  <si>
    <t>POSOCO</t>
  </si>
  <si>
    <t>Reactive Energy Charges</t>
  </si>
  <si>
    <t>IMFA (ICCL)</t>
  </si>
  <si>
    <t xml:space="preserve">Faridabad Solar </t>
  </si>
  <si>
    <t>Octatnt Industries</t>
  </si>
  <si>
    <t>BSTPS-I&amp;II</t>
  </si>
  <si>
    <r>
      <rPr>
        <b/>
        <sz val="10"/>
        <rFont val="Arial"/>
        <family val="2"/>
      </rPr>
      <t xml:space="preserve">Add: </t>
    </r>
    <r>
      <rPr>
        <sz val="10"/>
        <rFont val="Arial"/>
        <family val="2"/>
      </rPr>
      <t xml:space="preserve"> Proposed OHPC Loan</t>
    </r>
  </si>
  <si>
    <t xml:space="preserve">Pass throuhg  Arrear of  TTPS </t>
  </si>
  <si>
    <t>Arrear towardsTeesta-V</t>
  </si>
  <si>
    <t>Cash Inflow</t>
  </si>
  <si>
    <t>Emergency Sale to CGPs</t>
  </si>
  <si>
    <t>Capex received</t>
  </si>
  <si>
    <t>Capex payment</t>
  </si>
  <si>
    <t>BSP of FY 2013-14</t>
  </si>
  <si>
    <t>BSP of FY 2011-12</t>
  </si>
  <si>
    <t>Year end Adj. bills &amp; other</t>
  </si>
  <si>
    <t>Securitised dues*</t>
  </si>
  <si>
    <t xml:space="preserve">Bulk Supply  Price (BSP)  </t>
  </si>
  <si>
    <t xml:space="preserve">GRIDCO Loan &amp; Interest </t>
  </si>
  <si>
    <t xml:space="preserve">DPS Payable </t>
  </si>
  <si>
    <t>Total ( A+B)</t>
  </si>
  <si>
    <t>12.5% Power Bond - Rs. 400 Crore.</t>
  </si>
  <si>
    <t>a)</t>
  </si>
  <si>
    <t xml:space="preserve">  Principal</t>
  </si>
  <si>
    <t>b)</t>
  </si>
  <si>
    <t>Other dues including Transfer Scheme Receivables</t>
  </si>
  <si>
    <t>GRIDCO Total (C+D+E+F)</t>
  </si>
  <si>
    <t>*  Claim towards DPS &amp; Securitised dues have been decided by OERC vide Order dated 01.12.2008 in Case No.115/2004</t>
  </si>
  <si>
    <t>Licencee :  GRIDCO Limited                                                                                                                                                                                                                       Rs. in Crores</t>
  </si>
  <si>
    <t>Previous Year (as on 31-03-2014) as per Audited Accounts</t>
  </si>
  <si>
    <t>Current Year (as on 30-09-2014) (Provisional)</t>
  </si>
  <si>
    <r>
      <t xml:space="preserve">BSP of FY 2014-15
</t>
    </r>
    <r>
      <rPr>
        <b/>
        <i/>
        <sz val="8"/>
        <rFont val="Arial"/>
        <family val="2"/>
      </rPr>
      <t>(Billing upto Sept-14 and Collection upto Nov-14)</t>
    </r>
  </si>
  <si>
    <t>BSP of FY 2012-13</t>
  </si>
  <si>
    <t>2015-16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</si>
</sst>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_-* #,##0_-;\-* #,##0_-;_-* &quot;-&quot;_-;_-@_-"/>
    <numFmt numFmtId="179" formatCode="_-* #,##0.00_-;\-* #,##0.00_-;_-* &quot;-&quot;??_-;_-@_-"/>
    <numFmt numFmtId="180" formatCode="_(* #,##0_);_(* \(#,##0\);_(* &quot;-&quot;??_);_(@_)"/>
    <numFmt numFmtId="181" formatCode="0.00_)"/>
    <numFmt numFmtId="182" formatCode="_(* #,##0.0000_);_(* \(#,##0.0000\);_(* &quot;-&quot;??_);_(@_)"/>
    <numFmt numFmtId="183" formatCode="_(* #,##0.0_);_(* \(#,##0.0\);_(* &quot;-&quot;?_);_(@_)"/>
    <numFmt numFmtId="184" formatCode="mmmm\-yy"/>
    <numFmt numFmtId="185" formatCode="_(* #,##0.00000_);_(* \(#,##0.00000\);_(* &quot;-&quot;??_);_(@_)"/>
    <numFmt numFmtId="186" formatCode="_(* #,##0.000000_);_(* \(#,##0.000000\);_(* &quot;-&quot;??_);_(@_)"/>
    <numFmt numFmtId="187" formatCode="_(* #,##0.00_);_(* \(#,##0.00\);_(* \-??_);_(@_)"/>
    <numFmt numFmtId="188" formatCode="_(* #,##0.00000000_);_(* \(#,##0.00000000\);_(* \-??_);_(@_)"/>
    <numFmt numFmtId="189" formatCode="_(* #,##0.0000000_);_(* \(#,##0.0000000\);_(* &quot;-&quot;??_);_(@_)"/>
    <numFmt numFmtId="190" formatCode="_-* #,##0.00_-;\-* #,##0.00_-;_-* \-??_-;_-@_-"/>
    <numFmt numFmtId="191" formatCode="_ * #,##0.0000000_ ;_ * \-#,##0.0000000_ ;_ * &quot;-&quot;??_ ;_ @_ "/>
    <numFmt numFmtId="192" formatCode="0.0000000000"/>
    <numFmt numFmtId="193" formatCode="_ * #,##0.0000000_ ;_ * \-#,##0.0000000_ ;_ * &quot;-&quot;???????_ ;_ @_ "/>
    <numFmt numFmtId="194" formatCode="_ * #,##0.0000_ ;_ * \-#,##0.0000_ ;_ * &quot;-&quot;????_ ;_ @_ "/>
    <numFmt numFmtId="195" formatCode="_ * #,##0.000_ ;_ * \-#,##0.000_ ;_ * &quot;-&quot;?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.000_);_(* \(#,##0.000\);_(* &quot;-&quot;??_);_(@_)"/>
    <numFmt numFmtId="201" formatCode="_(* #,##0.0_);_(* \(#,##0.0\);_(* \-??_);_(@_)"/>
    <numFmt numFmtId="202" formatCode="_(* #,##0_);_(* \(#,##0\);_(* \-??_);_(@_)"/>
    <numFmt numFmtId="203" formatCode="0.000"/>
    <numFmt numFmtId="204" formatCode="_(* #,##0.00000000_);_(* \(#,##0.00000000\);_(* &quot;-&quot;??_);_(@_)"/>
    <numFmt numFmtId="205" formatCode="_(* #,##0.000000000_);_(* \(#,##0.000000000\);_(* &quot;-&quot;??_);_(@_)"/>
    <numFmt numFmtId="206" formatCode="_ * #,##0.000_ ;_ * \-#,##0.000_ ;_ * &quot;-&quot;??_ ;_ @_ "/>
    <numFmt numFmtId="207" formatCode="_ * #,##0.0000_ ;_ * \-#,##0.0000_ ;_ * &quot;-&quot;??_ ;_ @_ "/>
    <numFmt numFmtId="208" formatCode="_ * #,##0.00000_ ;_ * \-#,##0.00000_ ;_ * &quot;-&quot;??_ ;_ @_ "/>
    <numFmt numFmtId="209" formatCode="_ * #,##0.000000_ ;_ * \-#,##0.000000_ ;_ * &quot;-&quot;??_ ;_ @_ "/>
    <numFmt numFmtId="210" formatCode="_ * #,##0.00000000_ ;_ * \-#,##0.00000000_ ;_ * &quot;-&quot;??_ ;_ @_ "/>
    <numFmt numFmtId="211" formatCode="0.00000"/>
    <numFmt numFmtId="212" formatCode="0.000000"/>
    <numFmt numFmtId="213" formatCode="0.0%"/>
    <numFmt numFmtId="214" formatCode="0.0"/>
    <numFmt numFmtId="215" formatCode="0.0000"/>
    <numFmt numFmtId="216" formatCode="_(* #,##0.0_);_(* \(#,##0.0\);_(* &quot;-&quot;??_);_(@_)"/>
    <numFmt numFmtId="217" formatCode="_(* #,##0.0000_);_(* \(#,##0.0000\);_(* \-??_);_(@_)"/>
    <numFmt numFmtId="218" formatCode="_ * #,##0.00000_ ;_ * \-#,##0.00000_ ;_ * &quot;-&quot;?????_ ;_ @_ "/>
    <numFmt numFmtId="219" formatCode="_ * #,##0.000000_ ;_ * \-#,##0.000000_ ;_ * &quot;-&quot;??????_ ;_ @_ "/>
    <numFmt numFmtId="220" formatCode="_ * #,##0.0000000000_ ;_ * \-#,##0.0000000000_ ;_ * &quot;-&quot;??????????_ ;_ @_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b/>
      <i/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Univers Condensed"/>
      <family val="0"/>
    </font>
    <font>
      <b/>
      <sz val="10"/>
      <name val="Univers Condensed"/>
      <family val="0"/>
    </font>
    <font>
      <sz val="10"/>
      <name val="Univers Condensed"/>
      <family val="0"/>
    </font>
    <font>
      <b/>
      <sz val="10"/>
      <color indexed="9"/>
      <name val="Univers Condensed"/>
      <family val="0"/>
    </font>
    <font>
      <sz val="10"/>
      <color indexed="10"/>
      <name val="Univers Condensed"/>
      <family val="2"/>
    </font>
    <font>
      <b/>
      <sz val="10"/>
      <color indexed="10"/>
      <name val="Univers Condensed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8"/>
      <color indexed="14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Condensed"/>
      <family val="2"/>
    </font>
    <font>
      <sz val="10"/>
      <color indexed="8"/>
      <name val="Univers Condensed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Condensed"/>
      <family val="2"/>
    </font>
    <font>
      <sz val="10"/>
      <color theme="1"/>
      <name val="Univers Condense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Univers Condensed"/>
      <family val="0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12" fillId="30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31" borderId="1" applyNumberFormat="0" applyAlignment="0" applyProtection="0"/>
    <xf numFmtId="10" fontId="12" fillId="32" borderId="6" applyNumberFormat="0" applyBorder="0" applyAlignment="0" applyProtection="0"/>
    <xf numFmtId="0" fontId="85" fillId="0" borderId="7" applyNumberFormat="0" applyFill="0" applyAlignment="0" applyProtection="0"/>
    <xf numFmtId="0" fontId="86" fillId="33" borderId="0" applyNumberFormat="0" applyBorder="0" applyAlignment="0" applyProtection="0"/>
    <xf numFmtId="18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87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7" fillId="0" borderId="6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0" xfId="0" applyNumberFormat="1" applyFont="1" applyFill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18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3" fillId="0" borderId="6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43" fontId="18" fillId="0" borderId="0" xfId="0" applyNumberFormat="1" applyFont="1" applyAlignment="1">
      <alignment/>
    </xf>
    <xf numFmtId="43" fontId="3" fillId="0" borderId="6" xfId="42" applyFont="1" applyFill="1" applyBorder="1" applyAlignment="1">
      <alignment/>
    </xf>
    <xf numFmtId="43" fontId="0" fillId="0" borderId="6" xfId="4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3" fontId="4" fillId="0" borderId="6" xfId="42" applyFont="1" applyBorder="1" applyAlignment="1">
      <alignment horizontal="center" vertical="center" wrapText="1"/>
    </xf>
    <xf numFmtId="43" fontId="18" fillId="0" borderId="6" xfId="42" applyFont="1" applyFill="1" applyBorder="1" applyAlignment="1">
      <alignment/>
    </xf>
    <xf numFmtId="43" fontId="3" fillId="0" borderId="6" xfId="42" applyFont="1" applyBorder="1" applyAlignment="1">
      <alignment horizontal="center" vertical="center" wrapText="1"/>
    </xf>
    <xf numFmtId="43" fontId="0" fillId="0" borderId="0" xfId="42" applyFont="1" applyFill="1" applyBorder="1" applyAlignment="1">
      <alignment/>
    </xf>
    <xf numFmtId="0" fontId="24" fillId="0" borderId="0" xfId="0" applyFont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6" xfId="0" applyNumberFormat="1" applyFont="1" applyFill="1" applyBorder="1" applyAlignment="1">
      <alignment horizontal="center" vertical="center" wrapText="1"/>
    </xf>
    <xf numFmtId="0" fontId="14" fillId="0" borderId="6" xfId="64" applyFont="1" applyFill="1" applyBorder="1" applyAlignment="1">
      <alignment horizontal="left" wrapText="1"/>
      <protection/>
    </xf>
    <xf numFmtId="0" fontId="3" fillId="0" borderId="6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3" fontId="4" fillId="0" borderId="6" xfId="42" applyFont="1" applyBorder="1" applyAlignment="1">
      <alignment horizontal="center" wrapText="1"/>
    </xf>
    <xf numFmtId="0" fontId="16" fillId="0" borderId="0" xfId="0" applyNumberFormat="1" applyFont="1" applyFill="1" applyAlignment="1">
      <alignment/>
    </xf>
    <xf numFmtId="0" fontId="21" fillId="0" borderId="6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43" fontId="16" fillId="0" borderId="6" xfId="0" applyNumberFormat="1" applyFont="1" applyFill="1" applyBorder="1" applyAlignment="1">
      <alignment/>
    </xf>
    <xf numFmtId="43" fontId="16" fillId="0" borderId="6" xfId="42" applyFont="1" applyFill="1" applyBorder="1" applyAlignment="1">
      <alignment/>
    </xf>
    <xf numFmtId="43" fontId="16" fillId="0" borderId="0" xfId="0" applyNumberFormat="1" applyFont="1" applyFill="1" applyBorder="1" applyAlignment="1">
      <alignment/>
    </xf>
    <xf numFmtId="0" fontId="17" fillId="0" borderId="6" xfId="0" applyNumberFormat="1" applyFont="1" applyFill="1" applyBorder="1" applyAlignment="1">
      <alignment horizontal="left" indent="4"/>
    </xf>
    <xf numFmtId="0" fontId="16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23" fillId="0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wrapText="1"/>
    </xf>
    <xf numFmtId="43" fontId="3" fillId="0" borderId="6" xfId="42" applyFont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wrapText="1"/>
    </xf>
    <xf numFmtId="0" fontId="18" fillId="0" borderId="6" xfId="0" applyNumberFormat="1" applyFont="1" applyFill="1" applyBorder="1" applyAlignment="1">
      <alignment horizontal="left" wrapText="1" indent="2"/>
    </xf>
    <xf numFmtId="0" fontId="18" fillId="0" borderId="6" xfId="0" applyNumberFormat="1" applyFont="1" applyFill="1" applyBorder="1" applyAlignment="1">
      <alignment horizontal="center"/>
    </xf>
    <xf numFmtId="0" fontId="14" fillId="0" borderId="6" xfId="64" applyFont="1" applyFill="1" applyBorder="1" applyAlignment="1">
      <alignment wrapText="1"/>
      <protection/>
    </xf>
    <xf numFmtId="0" fontId="18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21" fillId="0" borderId="6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180" fontId="18" fillId="0" borderId="0" xfId="42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183" fontId="18" fillId="0" borderId="0" xfId="0" applyNumberFormat="1" applyFont="1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 horizontal="left" wrapText="1" indent="4"/>
    </xf>
    <xf numFmtId="0" fontId="30" fillId="0" borderId="6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>
      <alignment horizontal="left" wrapText="1" indent="2"/>
    </xf>
    <xf numFmtId="0" fontId="0" fillId="0" borderId="0" xfId="65" applyAlignment="1">
      <alignment horizontal="center"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6" xfId="65" applyFont="1" applyBorder="1" applyAlignment="1">
      <alignment horizontal="center" vertical="center"/>
      <protection/>
    </xf>
    <xf numFmtId="0" fontId="3" fillId="0" borderId="6" xfId="65" applyFont="1" applyBorder="1" applyAlignment="1">
      <alignment horizontal="center" vertical="center" wrapText="1"/>
      <protection/>
    </xf>
    <xf numFmtId="0" fontId="18" fillId="0" borderId="0" xfId="65" applyFont="1" applyAlignment="1">
      <alignment horizontal="center" vertical="center"/>
      <protection/>
    </xf>
    <xf numFmtId="0" fontId="24" fillId="0" borderId="0" xfId="65" applyFont="1" applyBorder="1" applyAlignment="1">
      <alignment horizontal="center" vertical="center"/>
      <protection/>
    </xf>
    <xf numFmtId="0" fontId="1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8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vertical="center" wrapText="1"/>
    </xf>
    <xf numFmtId="43" fontId="18" fillId="0" borderId="6" xfId="42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3" fontId="0" fillId="0" borderId="0" xfId="42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9" fontId="0" fillId="0" borderId="0" xfId="72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42" applyFont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25" fillId="0" borderId="0" xfId="0" applyNumberFormat="1" applyFont="1" applyFill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6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6" xfId="0" applyFont="1" applyFill="1" applyBorder="1" applyAlignment="1">
      <alignment vertical="center" wrapText="1"/>
    </xf>
    <xf numFmtId="43" fontId="18" fillId="0" borderId="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43" fontId="4" fillId="0" borderId="6" xfId="42" applyFont="1" applyFill="1" applyBorder="1" applyAlignment="1">
      <alignment vertical="center"/>
    </xf>
    <xf numFmtId="186" fontId="18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43" fontId="18" fillId="0" borderId="6" xfId="42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43" fontId="18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1" fontId="18" fillId="0" borderId="0" xfId="0" applyNumberFormat="1" applyFont="1" applyAlignment="1">
      <alignment vertical="center"/>
    </xf>
    <xf numFmtId="43" fontId="4" fillId="0" borderId="6" xfId="42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3" fontId="4" fillId="0" borderId="0" xfId="0" applyNumberFormat="1" applyFont="1" applyAlignment="1">
      <alignment vertical="center"/>
    </xf>
    <xf numFmtId="43" fontId="18" fillId="0" borderId="0" xfId="42" applyFont="1" applyAlignment="1">
      <alignment vertical="center"/>
    </xf>
    <xf numFmtId="0" fontId="0" fillId="0" borderId="0" xfId="65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0" fillId="0" borderId="6" xfId="65" applyBorder="1" applyAlignment="1">
      <alignment vertical="center"/>
      <protection/>
    </xf>
    <xf numFmtId="187" fontId="3" fillId="0" borderId="6" xfId="65" applyNumberFormat="1" applyFont="1" applyBorder="1" applyAlignment="1">
      <alignment vertical="center"/>
      <protection/>
    </xf>
    <xf numFmtId="0" fontId="4" fillId="0" borderId="6" xfId="63" applyFont="1" applyBorder="1" applyAlignment="1">
      <alignment horizontal="center" vertical="center"/>
      <protection/>
    </xf>
    <xf numFmtId="187" fontId="3" fillId="0" borderId="6" xfId="42" applyNumberFormat="1" applyFont="1" applyFill="1" applyBorder="1" applyAlignment="1" applyProtection="1">
      <alignment vertical="center"/>
      <protection/>
    </xf>
    <xf numFmtId="0" fontId="3" fillId="0" borderId="0" xfId="65" applyFont="1" applyAlignment="1">
      <alignment vertical="center"/>
      <protection/>
    </xf>
    <xf numFmtId="0" fontId="0" fillId="0" borderId="0" xfId="65" applyBorder="1" applyAlignment="1">
      <alignment vertical="center"/>
      <protection/>
    </xf>
    <xf numFmtId="0" fontId="24" fillId="0" borderId="0" xfId="65" applyFont="1" applyAlignment="1">
      <alignment vertical="center"/>
      <protection/>
    </xf>
    <xf numFmtId="0" fontId="24" fillId="0" borderId="0" xfId="65" applyFont="1" applyBorder="1" applyAlignment="1">
      <alignment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4" fillId="0" borderId="6" xfId="0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43" fontId="36" fillId="0" borderId="0" xfId="66" applyNumberFormat="1" applyFont="1" applyBorder="1" applyAlignment="1">
      <alignment horizontal="left" vertical="center"/>
      <protection/>
    </xf>
    <xf numFmtId="43" fontId="36" fillId="0" borderId="0" xfId="66" applyNumberFormat="1" applyFont="1" applyBorder="1" applyAlignment="1">
      <alignment horizontal="center" vertical="center"/>
      <protection/>
    </xf>
    <xf numFmtId="43" fontId="37" fillId="0" borderId="0" xfId="66" applyNumberFormat="1" applyFont="1" applyFill="1" applyBorder="1" applyAlignment="1">
      <alignment/>
      <protection/>
    </xf>
    <xf numFmtId="43" fontId="37" fillId="0" borderId="0" xfId="66" applyNumberFormat="1" applyFont="1" applyBorder="1" applyAlignment="1">
      <alignment/>
      <protection/>
    </xf>
    <xf numFmtId="182" fontId="37" fillId="0" borderId="0" xfId="66" applyNumberFormat="1" applyFont="1" applyBorder="1" applyAlignment="1">
      <alignment/>
      <protection/>
    </xf>
    <xf numFmtId="184" fontId="37" fillId="0" borderId="0" xfId="66" applyNumberFormat="1" applyFont="1" applyBorder="1">
      <alignment/>
      <protection/>
    </xf>
    <xf numFmtId="43" fontId="36" fillId="0" borderId="6" xfId="66" applyNumberFormat="1" applyFont="1" applyFill="1" applyBorder="1" applyAlignment="1">
      <alignment horizontal="center"/>
      <protection/>
    </xf>
    <xf numFmtId="180" fontId="36" fillId="0" borderId="6" xfId="66" applyNumberFormat="1" applyFont="1" applyBorder="1" applyAlignment="1">
      <alignment horizontal="center"/>
      <protection/>
    </xf>
    <xf numFmtId="43" fontId="36" fillId="0" borderId="6" xfId="66" applyNumberFormat="1" applyFont="1" applyBorder="1" applyAlignment="1">
      <alignment horizontal="center"/>
      <protection/>
    </xf>
    <xf numFmtId="182" fontId="36" fillId="0" borderId="6" xfId="66" applyNumberFormat="1" applyFont="1" applyBorder="1" applyAlignment="1">
      <alignment horizontal="center"/>
      <protection/>
    </xf>
    <xf numFmtId="43" fontId="37" fillId="0" borderId="0" xfId="66" applyNumberFormat="1" applyFont="1" applyBorder="1">
      <alignment/>
      <protection/>
    </xf>
    <xf numFmtId="43" fontId="37" fillId="35" borderId="6" xfId="66" applyNumberFormat="1" applyFont="1" applyFill="1" applyBorder="1">
      <alignment/>
      <protection/>
    </xf>
    <xf numFmtId="43" fontId="38" fillId="35" borderId="6" xfId="66" applyNumberFormat="1" applyFont="1" applyFill="1" applyBorder="1">
      <alignment/>
      <protection/>
    </xf>
    <xf numFmtId="182" fontId="37" fillId="35" borderId="6" xfId="66" applyNumberFormat="1" applyFont="1" applyFill="1" applyBorder="1">
      <alignment/>
      <protection/>
    </xf>
    <xf numFmtId="187" fontId="36" fillId="0" borderId="6" xfId="0" applyNumberFormat="1" applyFont="1" applyFill="1" applyBorder="1" applyAlignment="1">
      <alignment/>
    </xf>
    <xf numFmtId="187" fontId="36" fillId="0" borderId="6" xfId="0" applyNumberFormat="1" applyFont="1" applyFill="1" applyBorder="1" applyAlignment="1">
      <alignment shrinkToFit="1"/>
    </xf>
    <xf numFmtId="187" fontId="37" fillId="0" borderId="6" xfId="0" applyNumberFormat="1" applyFont="1" applyFill="1" applyBorder="1" applyAlignment="1">
      <alignment/>
    </xf>
    <xf numFmtId="187" fontId="37" fillId="0" borderId="6" xfId="0" applyNumberFormat="1" applyFont="1" applyBorder="1" applyAlignment="1">
      <alignment/>
    </xf>
    <xf numFmtId="43" fontId="37" fillId="0" borderId="6" xfId="66" applyNumberFormat="1" applyFont="1" applyFill="1" applyBorder="1">
      <alignment/>
      <protection/>
    </xf>
    <xf numFmtId="182" fontId="37" fillId="0" borderId="6" xfId="66" applyNumberFormat="1" applyFont="1" applyFill="1" applyBorder="1">
      <alignment/>
      <protection/>
    </xf>
    <xf numFmtId="43" fontId="37" fillId="0" borderId="0" xfId="66" applyNumberFormat="1" applyFont="1" applyFill="1" applyBorder="1">
      <alignment/>
      <protection/>
    </xf>
    <xf numFmtId="187" fontId="36" fillId="0" borderId="6" xfId="0" applyNumberFormat="1" applyFont="1" applyBorder="1" applyAlignment="1">
      <alignment/>
    </xf>
    <xf numFmtId="187" fontId="37" fillId="0" borderId="6" xfId="0" applyNumberFormat="1" applyFont="1" applyBorder="1" applyAlignment="1">
      <alignment horizontal="left" indent="2" shrinkToFit="1"/>
    </xf>
    <xf numFmtId="187" fontId="36" fillId="0" borderId="6" xfId="0" applyNumberFormat="1" applyFont="1" applyBorder="1" applyAlignment="1">
      <alignment horizontal="left" indent="2" shrinkToFit="1"/>
    </xf>
    <xf numFmtId="187" fontId="36" fillId="0" borderId="6" xfId="0" applyNumberFormat="1" applyFont="1" applyBorder="1" applyAlignment="1">
      <alignment shrinkToFit="1"/>
    </xf>
    <xf numFmtId="187" fontId="37" fillId="0" borderId="6" xfId="0" applyNumberFormat="1" applyFont="1" applyFill="1" applyBorder="1" applyAlignment="1">
      <alignment horizontal="left" indent="2" shrinkToFit="1"/>
    </xf>
    <xf numFmtId="187" fontId="37" fillId="0" borderId="6" xfId="0" applyNumberFormat="1" applyFont="1" applyFill="1" applyBorder="1" applyAlignment="1">
      <alignment horizontal="left" indent="2" shrinkToFit="1"/>
    </xf>
    <xf numFmtId="43" fontId="37" fillId="0" borderId="6" xfId="42" applyFont="1" applyBorder="1" applyAlignment="1">
      <alignment/>
    </xf>
    <xf numFmtId="187" fontId="36" fillId="0" borderId="6" xfId="0" applyNumberFormat="1" applyFont="1" applyFill="1" applyBorder="1" applyAlignment="1">
      <alignment horizontal="left" indent="2" shrinkToFit="1"/>
    </xf>
    <xf numFmtId="43" fontId="36" fillId="0" borderId="6" xfId="42" applyFont="1" applyFill="1" applyBorder="1" applyAlignment="1" applyProtection="1">
      <alignment/>
      <protection/>
    </xf>
    <xf numFmtId="187" fontId="39" fillId="36" borderId="6" xfId="0" applyNumberFormat="1" applyFont="1" applyFill="1" applyBorder="1" applyAlignment="1">
      <alignment/>
    </xf>
    <xf numFmtId="43" fontId="40" fillId="36" borderId="6" xfId="42" applyFont="1" applyFill="1" applyBorder="1" applyAlignment="1" applyProtection="1">
      <alignment horizontal="center"/>
      <protection/>
    </xf>
    <xf numFmtId="187" fontId="37" fillId="0" borderId="6" xfId="0" applyNumberFormat="1" applyFont="1" applyBorder="1" applyAlignment="1">
      <alignment horizontal="left" indent="3" shrinkToFit="1"/>
    </xf>
    <xf numFmtId="187" fontId="36" fillId="0" borderId="6" xfId="0" applyNumberFormat="1" applyFont="1" applyBorder="1" applyAlignment="1">
      <alignment horizontal="left" indent="3" shrinkToFit="1"/>
    </xf>
    <xf numFmtId="187" fontId="37" fillId="0" borderId="6" xfId="0" applyNumberFormat="1" applyFont="1" applyFill="1" applyBorder="1" applyAlignment="1">
      <alignment horizontal="left" indent="3" shrinkToFit="1"/>
    </xf>
    <xf numFmtId="187" fontId="36" fillId="0" borderId="6" xfId="0" applyNumberFormat="1" applyFont="1" applyFill="1" applyBorder="1" applyAlignment="1">
      <alignment horizontal="left" indent="3" shrinkToFit="1"/>
    </xf>
    <xf numFmtId="187" fontId="39" fillId="0" borderId="6" xfId="0" applyNumberFormat="1" applyFont="1" applyFill="1" applyBorder="1" applyAlignment="1">
      <alignment/>
    </xf>
    <xf numFmtId="187" fontId="40" fillId="0" borderId="6" xfId="0" applyNumberFormat="1" applyFont="1" applyFill="1" applyBorder="1" applyAlignment="1">
      <alignment shrinkToFit="1"/>
    </xf>
    <xf numFmtId="187" fontId="40" fillId="0" borderId="6" xfId="0" applyNumberFormat="1" applyFont="1" applyFill="1" applyBorder="1" applyAlignment="1">
      <alignment/>
    </xf>
    <xf numFmtId="182" fontId="37" fillId="0" borderId="0" xfId="66" applyNumberFormat="1" applyFont="1" applyBorder="1">
      <alignment/>
      <protection/>
    </xf>
    <xf numFmtId="43" fontId="91" fillId="0" borderId="6" xfId="42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>
      <alignment wrapText="1"/>
    </xf>
    <xf numFmtId="180" fontId="18" fillId="0" borderId="0" xfId="42" applyNumberFormat="1" applyFont="1" applyAlignment="1">
      <alignment/>
    </xf>
    <xf numFmtId="180" fontId="18" fillId="0" borderId="6" xfId="42" applyNumberFormat="1" applyFont="1" applyBorder="1" applyAlignment="1">
      <alignment horizontal="right"/>
    </xf>
    <xf numFmtId="43" fontId="4" fillId="0" borderId="6" xfId="42" applyFont="1" applyBorder="1" applyAlignment="1">
      <alignment/>
    </xf>
    <xf numFmtId="43" fontId="18" fillId="0" borderId="6" xfId="42" applyFont="1" applyBorder="1" applyAlignment="1">
      <alignment/>
    </xf>
    <xf numFmtId="180" fontId="18" fillId="0" borderId="6" xfId="42" applyNumberFormat="1" applyFont="1" applyBorder="1" applyAlignment="1">
      <alignment/>
    </xf>
    <xf numFmtId="43" fontId="14" fillId="0" borderId="6" xfId="42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6" xfId="67" applyFont="1" applyFill="1" applyBorder="1" applyAlignment="1">
      <alignment horizontal="center"/>
      <protection/>
    </xf>
    <xf numFmtId="3" fontId="0" fillId="0" borderId="6" xfId="69" applyNumberFormat="1" applyFont="1" applyFill="1" applyBorder="1" applyAlignment="1">
      <alignment horizontal="left"/>
      <protection/>
    </xf>
    <xf numFmtId="0" fontId="3" fillId="0" borderId="6" xfId="67" applyFont="1" applyFill="1" applyBorder="1" applyAlignment="1">
      <alignment horizontal="center"/>
      <protection/>
    </xf>
    <xf numFmtId="3" fontId="3" fillId="0" borderId="6" xfId="69" applyNumberFormat="1" applyFont="1" applyFill="1" applyBorder="1" applyAlignment="1">
      <alignment horizontal="left"/>
      <protection/>
    </xf>
    <xf numFmtId="3" fontId="0" fillId="0" borderId="6" xfId="68" applyNumberFormat="1" applyFont="1" applyFill="1" applyBorder="1" applyAlignment="1">
      <alignment horizontal="left"/>
      <protection/>
    </xf>
    <xf numFmtId="3" fontId="0" fillId="0" borderId="6" xfId="68" applyNumberFormat="1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32" fillId="0" borderId="6" xfId="0" applyFont="1" applyFill="1" applyBorder="1" applyAlignment="1">
      <alignment horizontal="center" vertical="center" wrapText="1"/>
    </xf>
    <xf numFmtId="43" fontId="3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171" fontId="18" fillId="0" borderId="0" xfId="0" applyNumberFormat="1" applyFont="1" applyFill="1" applyAlignment="1">
      <alignment vertical="center"/>
    </xf>
    <xf numFmtId="43" fontId="4" fillId="0" borderId="6" xfId="42" applyNumberFormat="1" applyFont="1" applyFill="1" applyBorder="1" applyAlignment="1">
      <alignment vertical="center"/>
    </xf>
    <xf numFmtId="187" fontId="41" fillId="0" borderId="6" xfId="42" applyNumberFormat="1" applyFont="1" applyFill="1" applyBorder="1" applyAlignment="1">
      <alignment shrinkToFit="1"/>
    </xf>
    <xf numFmtId="0" fontId="0" fillId="0" borderId="6" xfId="0" applyFont="1" applyFill="1" applyBorder="1" applyAlignment="1">
      <alignment/>
    </xf>
    <xf numFmtId="43" fontId="0" fillId="0" borderId="6" xfId="42" applyFont="1" applyFill="1" applyBorder="1" applyAlignment="1">
      <alignment/>
    </xf>
    <xf numFmtId="43" fontId="3" fillId="0" borderId="6" xfId="42" applyFont="1" applyFill="1" applyBorder="1" applyAlignment="1">
      <alignment/>
    </xf>
    <xf numFmtId="190" fontId="0" fillId="0" borderId="6" xfId="42" applyNumberFormat="1" applyFont="1" applyFill="1" applyBorder="1" applyAlignment="1">
      <alignment horizontal="right"/>
    </xf>
    <xf numFmtId="43" fontId="0" fillId="0" borderId="6" xfId="0" applyNumberFormat="1" applyFont="1" applyFill="1" applyBorder="1" applyAlignment="1">
      <alignment horizontal="right" wrapText="1"/>
    </xf>
    <xf numFmtId="43" fontId="3" fillId="0" borderId="6" xfId="0" applyNumberFormat="1" applyFont="1" applyFill="1" applyBorder="1" applyAlignment="1">
      <alignment horizontal="right" wrapText="1"/>
    </xf>
    <xf numFmtId="190" fontId="3" fillId="0" borderId="6" xfId="42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90" fontId="0" fillId="0" borderId="6" xfId="0" applyNumberFormat="1" applyFont="1" applyFill="1" applyBorder="1" applyAlignment="1">
      <alignment horizontal="right"/>
    </xf>
    <xf numFmtId="190" fontId="3" fillId="0" borderId="6" xfId="0" applyNumberFormat="1" applyFont="1" applyFill="1" applyBorder="1" applyAlignment="1">
      <alignment horizontal="right"/>
    </xf>
    <xf numFmtId="43" fontId="0" fillId="0" borderId="6" xfId="42" applyFont="1" applyFill="1" applyBorder="1" applyAlignment="1">
      <alignment horizontal="right"/>
    </xf>
    <xf numFmtId="43" fontId="3" fillId="37" borderId="6" xfId="42" applyFont="1" applyFill="1" applyBorder="1" applyAlignment="1">
      <alignment horizontal="right"/>
    </xf>
    <xf numFmtId="43" fontId="3" fillId="0" borderId="6" xfId="42" applyFont="1" applyFill="1" applyBorder="1" applyAlignment="1">
      <alignment horizontal="right"/>
    </xf>
    <xf numFmtId="187" fontId="41" fillId="0" borderId="0" xfId="42" applyNumberFormat="1" applyFont="1" applyFill="1" applyBorder="1" applyAlignment="1">
      <alignment shrinkToFit="1"/>
    </xf>
    <xf numFmtId="43" fontId="41" fillId="0" borderId="6" xfId="42" applyFont="1" applyFill="1" applyBorder="1" applyAlignment="1">
      <alignment shrinkToFit="1"/>
    </xf>
    <xf numFmtId="171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3" fontId="0" fillId="0" borderId="6" xfId="42" applyFont="1" applyBorder="1" applyAlignment="1">
      <alignment/>
    </xf>
    <xf numFmtId="0" fontId="0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3" fontId="3" fillId="0" borderId="6" xfId="42" applyFont="1" applyBorder="1" applyAlignment="1">
      <alignment/>
    </xf>
    <xf numFmtId="0" fontId="3" fillId="0" borderId="6" xfId="0" applyFont="1" applyBorder="1" applyAlignment="1">
      <alignment wrapText="1"/>
    </xf>
    <xf numFmtId="0" fontId="0" fillId="0" borderId="6" xfId="0" applyFont="1" applyBorder="1" applyAlignment="1">
      <alignment horizontal="left"/>
    </xf>
    <xf numFmtId="43" fontId="0" fillId="0" borderId="6" xfId="0" applyNumberFormat="1" applyFont="1" applyBorder="1" applyAlignment="1" quotePrefix="1">
      <alignment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171" fontId="3" fillId="0" borderId="6" xfId="0" applyNumberFormat="1" applyFont="1" applyBorder="1" applyAlignment="1">
      <alignment/>
    </xf>
    <xf numFmtId="43" fontId="14" fillId="0" borderId="6" xfId="42" applyFont="1" applyBorder="1" applyAlignment="1">
      <alignment vertical="center"/>
    </xf>
    <xf numFmtId="43" fontId="24" fillId="0" borderId="6" xfId="42" applyFont="1" applyBorder="1" applyAlignment="1">
      <alignment/>
    </xf>
    <xf numFmtId="43" fontId="3" fillId="0" borderId="6" xfId="42" applyFont="1" applyFill="1" applyBorder="1" applyAlignment="1">
      <alignment horizontal="center" wrapText="1"/>
    </xf>
    <xf numFmtId="192" fontId="18" fillId="0" borderId="0" xfId="0" applyNumberFormat="1" applyFont="1" applyAlignment="1">
      <alignment vertical="center"/>
    </xf>
    <xf numFmtId="43" fontId="37" fillId="0" borderId="6" xfId="42" applyFont="1" applyFill="1" applyBorder="1" applyAlignment="1">
      <alignment/>
    </xf>
    <xf numFmtId="182" fontId="37" fillId="0" borderId="0" xfId="66" applyNumberFormat="1" applyFont="1" applyFill="1" applyBorder="1" applyAlignment="1">
      <alignment/>
      <protection/>
    </xf>
    <xf numFmtId="180" fontId="36" fillId="0" borderId="6" xfId="66" applyNumberFormat="1" applyFont="1" applyFill="1" applyBorder="1" applyAlignment="1">
      <alignment horizontal="center"/>
      <protection/>
    </xf>
    <xf numFmtId="182" fontId="36" fillId="0" borderId="6" xfId="66" applyNumberFormat="1" applyFont="1" applyFill="1" applyBorder="1" applyAlignment="1">
      <alignment horizontal="center"/>
      <protection/>
    </xf>
    <xf numFmtId="185" fontId="37" fillId="0" borderId="0" xfId="66" applyNumberFormat="1" applyFont="1" applyFill="1" applyBorder="1">
      <alignment/>
      <protection/>
    </xf>
    <xf numFmtId="182" fontId="37" fillId="0" borderId="0" xfId="66" applyNumberFormat="1" applyFont="1" applyFill="1" applyBorder="1">
      <alignment/>
      <protection/>
    </xf>
    <xf numFmtId="43" fontId="37" fillId="0" borderId="6" xfId="42" applyFont="1" applyFill="1" applyBorder="1" applyAlignment="1">
      <alignment/>
    </xf>
    <xf numFmtId="43" fontId="91" fillId="0" borderId="6" xfId="42" applyFont="1" applyFill="1" applyBorder="1" applyAlignment="1">
      <alignment/>
    </xf>
    <xf numFmtId="43" fontId="36" fillId="0" borderId="6" xfId="42" applyFont="1" applyFill="1" applyBorder="1" applyAlignment="1">
      <alignment/>
    </xf>
    <xf numFmtId="43" fontId="36" fillId="0" borderId="6" xfId="42" applyFont="1" applyFill="1" applyBorder="1" applyAlignment="1">
      <alignment/>
    </xf>
    <xf numFmtId="43" fontId="92" fillId="0" borderId="6" xfId="42" applyFont="1" applyFill="1" applyBorder="1" applyAlignment="1">
      <alignment/>
    </xf>
    <xf numFmtId="43" fontId="36" fillId="0" borderId="6" xfId="42" applyFont="1" applyBorder="1" applyAlignment="1">
      <alignment/>
    </xf>
    <xf numFmtId="43" fontId="93" fillId="0" borderId="6" xfId="42" applyFont="1" applyFill="1" applyBorder="1" applyAlignment="1">
      <alignment/>
    </xf>
    <xf numFmtId="43" fontId="36" fillId="0" borderId="6" xfId="42" applyFont="1" applyBorder="1" applyAlignment="1">
      <alignment/>
    </xf>
    <xf numFmtId="43" fontId="94" fillId="0" borderId="6" xfId="42" applyFont="1" applyFill="1" applyBorder="1" applyAlignment="1">
      <alignment/>
    </xf>
    <xf numFmtId="43" fontId="37" fillId="0" borderId="6" xfId="42" applyFont="1" applyFill="1" applyBorder="1" applyAlignment="1">
      <alignment horizontal="center"/>
    </xf>
    <xf numFmtId="43" fontId="37" fillId="0" borderId="6" xfId="42" applyFont="1" applyBorder="1" applyAlignment="1">
      <alignment horizontal="center"/>
    </xf>
    <xf numFmtId="43" fontId="36" fillId="0" borderId="6" xfId="42" applyFont="1" applyFill="1" applyBorder="1" applyAlignment="1">
      <alignment horizontal="center"/>
    </xf>
    <xf numFmtId="43" fontId="36" fillId="0" borderId="6" xfId="42" applyFont="1" applyBorder="1" applyAlignment="1">
      <alignment horizontal="center"/>
    </xf>
    <xf numFmtId="43" fontId="3" fillId="0" borderId="6" xfId="42" applyFont="1" applyFill="1" applyBorder="1" applyAlignment="1">
      <alignment horizontal="center"/>
    </xf>
    <xf numFmtId="43" fontId="37" fillId="38" borderId="6" xfId="42" applyFont="1" applyFill="1" applyBorder="1" applyAlignment="1">
      <alignment/>
    </xf>
    <xf numFmtId="190" fontId="0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43" fontId="45" fillId="0" borderId="0" xfId="42" applyFont="1" applyAlignment="1">
      <alignment horizontal="right"/>
    </xf>
    <xf numFmtId="0" fontId="46" fillId="0" borderId="0" xfId="0" applyFont="1" applyFill="1" applyAlignment="1">
      <alignment/>
    </xf>
    <xf numFmtId="43" fontId="4" fillId="0" borderId="0" xfId="42" applyFont="1" applyAlignment="1">
      <alignment horizontal="right"/>
    </xf>
    <xf numFmtId="43" fontId="18" fillId="0" borderId="0" xfId="42" applyFont="1" applyAlignment="1">
      <alignment horizontal="right"/>
    </xf>
    <xf numFmtId="0" fontId="45" fillId="0" borderId="0" xfId="0" applyFont="1" applyFill="1" applyAlignment="1">
      <alignment/>
    </xf>
    <xf numFmtId="171" fontId="18" fillId="0" borderId="0" xfId="0" applyNumberFormat="1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Alignment="1">
      <alignment/>
    </xf>
    <xf numFmtId="43" fontId="18" fillId="0" borderId="0" xfId="42" applyFont="1" applyAlignment="1">
      <alignment/>
    </xf>
    <xf numFmtId="0" fontId="18" fillId="0" borderId="0" xfId="0" applyFont="1" applyAlignment="1">
      <alignment horizontal="left" indent="3"/>
    </xf>
    <xf numFmtId="43" fontId="4" fillId="0" borderId="0" xfId="42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wrapText="1"/>
    </xf>
    <xf numFmtId="43" fontId="17" fillId="0" borderId="6" xfId="0" applyNumberFormat="1" applyFont="1" applyFill="1" applyBorder="1" applyAlignment="1">
      <alignment/>
    </xf>
    <xf numFmtId="187" fontId="0" fillId="0" borderId="6" xfId="42" applyNumberFormat="1" applyFont="1" applyFill="1" applyBorder="1" applyAlignment="1" applyProtection="1">
      <alignment/>
      <protection/>
    </xf>
    <xf numFmtId="187" fontId="0" fillId="0" borderId="6" xfId="44" applyNumberFormat="1" applyFont="1" applyFill="1" applyBorder="1" applyAlignment="1" applyProtection="1">
      <alignment/>
      <protection/>
    </xf>
    <xf numFmtId="187" fontId="3" fillId="0" borderId="6" xfId="42" applyNumberFormat="1" applyFont="1" applyFill="1" applyBorder="1" applyAlignment="1" applyProtection="1">
      <alignment/>
      <protection/>
    </xf>
    <xf numFmtId="0" fontId="4" fillId="0" borderId="6" xfId="65" applyFont="1" applyBorder="1" applyAlignment="1">
      <alignment vertical="center"/>
      <protection/>
    </xf>
    <xf numFmtId="187" fontId="18" fillId="0" borderId="6" xfId="42" applyNumberFormat="1" applyFont="1" applyFill="1" applyBorder="1" applyAlignment="1" applyProtection="1">
      <alignment vertical="center"/>
      <protection/>
    </xf>
    <xf numFmtId="0" fontId="18" fillId="0" borderId="6" xfId="65" applyFont="1" applyBorder="1" applyAlignment="1">
      <alignment horizontal="center" vertical="center"/>
      <protection/>
    </xf>
    <xf numFmtId="0" fontId="18" fillId="0" borderId="6" xfId="65" applyFont="1" applyBorder="1" applyAlignment="1">
      <alignment horizontal="left" vertical="center"/>
      <protection/>
    </xf>
    <xf numFmtId="202" fontId="18" fillId="0" borderId="6" xfId="42" applyNumberFormat="1" applyFont="1" applyFill="1" applyBorder="1" applyAlignment="1" applyProtection="1">
      <alignment horizontal="center" vertical="center"/>
      <protection/>
    </xf>
    <xf numFmtId="0" fontId="4" fillId="0" borderId="6" xfId="65" applyFont="1" applyBorder="1" applyAlignment="1">
      <alignment horizontal="left" vertical="center"/>
      <protection/>
    </xf>
    <xf numFmtId="187" fontId="4" fillId="0" borderId="6" xfId="42" applyNumberFormat="1" applyFont="1" applyFill="1" applyBorder="1" applyAlignment="1" applyProtection="1">
      <alignment vertical="center"/>
      <protection/>
    </xf>
    <xf numFmtId="202" fontId="4" fillId="0" borderId="6" xfId="42" applyNumberFormat="1" applyFont="1" applyFill="1" applyBorder="1" applyAlignment="1" applyProtection="1">
      <alignment vertical="center"/>
      <protection/>
    </xf>
    <xf numFmtId="43" fontId="3" fillId="0" borderId="0" xfId="0" applyNumberFormat="1" applyFont="1" applyFill="1" applyAlignment="1">
      <alignment horizontal="center" vertical="center" wrapText="1"/>
    </xf>
    <xf numFmtId="10" fontId="12" fillId="0" borderId="6" xfId="0" applyNumberFormat="1" applyFont="1" applyFill="1" applyBorder="1" applyAlignment="1">
      <alignment horizontal="center" vertical="center"/>
    </xf>
    <xf numFmtId="10" fontId="12" fillId="0" borderId="6" xfId="42" applyNumberFormat="1" applyFont="1" applyFill="1" applyBorder="1" applyAlignment="1" applyProtection="1">
      <alignment vertical="center"/>
      <protection/>
    </xf>
    <xf numFmtId="10" fontId="12" fillId="0" borderId="6" xfId="67" applyNumberFormat="1" applyFont="1" applyFill="1" applyBorder="1" applyAlignment="1">
      <alignment horizontal="center" vertical="center"/>
      <protection/>
    </xf>
    <xf numFmtId="0" fontId="3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0" fontId="48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89" fontId="16" fillId="0" borderId="0" xfId="0" applyNumberFormat="1" applyFont="1" applyFill="1" applyBorder="1" applyAlignment="1">
      <alignment/>
    </xf>
    <xf numFmtId="0" fontId="14" fillId="0" borderId="6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vertical="center"/>
    </xf>
    <xf numFmtId="43" fontId="24" fillId="0" borderId="6" xfId="42" applyNumberFormat="1" applyFont="1" applyFill="1" applyBorder="1" applyAlignment="1">
      <alignment vertical="center"/>
    </xf>
    <xf numFmtId="0" fontId="14" fillId="0" borderId="6" xfId="0" applyNumberFormat="1" applyFont="1" applyFill="1" applyBorder="1" applyAlignment="1">
      <alignment vertical="center"/>
    </xf>
    <xf numFmtId="43" fontId="24" fillId="0" borderId="6" xfId="0" applyNumberFormat="1" applyFont="1" applyFill="1" applyBorder="1" applyAlignment="1">
      <alignment/>
    </xf>
    <xf numFmtId="43" fontId="14" fillId="0" borderId="6" xfId="0" applyNumberFormat="1" applyFont="1" applyFill="1" applyBorder="1" applyAlignment="1">
      <alignment/>
    </xf>
    <xf numFmtId="43" fontId="14" fillId="0" borderId="6" xfId="42" applyNumberFormat="1" applyFont="1" applyFill="1" applyBorder="1" applyAlignment="1">
      <alignment/>
    </xf>
    <xf numFmtId="43" fontId="14" fillId="0" borderId="6" xfId="42" applyFont="1" applyFill="1" applyBorder="1" applyAlignment="1">
      <alignment/>
    </xf>
    <xf numFmtId="0" fontId="24" fillId="0" borderId="6" xfId="0" applyNumberFormat="1" applyFont="1" applyFill="1" applyBorder="1" applyAlignment="1">
      <alignment/>
    </xf>
    <xf numFmtId="43" fontId="24" fillId="0" borderId="6" xfId="42" applyFont="1" applyBorder="1" applyAlignment="1">
      <alignment horizontal="right" vertical="center" wrapText="1"/>
    </xf>
    <xf numFmtId="43" fontId="14" fillId="0" borderId="6" xfId="0" applyNumberFormat="1" applyFont="1" applyBorder="1" applyAlignment="1">
      <alignment horizontal="right" vertical="center" wrapText="1"/>
    </xf>
    <xf numFmtId="43" fontId="14" fillId="0" borderId="6" xfId="42" applyFont="1" applyBorder="1" applyAlignment="1">
      <alignment horizontal="right" vertical="center" wrapText="1"/>
    </xf>
    <xf numFmtId="187" fontId="24" fillId="39" borderId="6" xfId="42" applyNumberFormat="1" applyFont="1" applyFill="1" applyBorder="1" applyAlignment="1">
      <alignment horizontal="right" wrapText="1"/>
    </xf>
    <xf numFmtId="43" fontId="24" fillId="0" borderId="6" xfId="42" applyFont="1" applyBorder="1" applyAlignment="1">
      <alignment horizontal="right" wrapText="1"/>
    </xf>
    <xf numFmtId="43" fontId="14" fillId="0" borderId="6" xfId="42" applyFont="1" applyBorder="1" applyAlignment="1">
      <alignment horizontal="right" wrapText="1"/>
    </xf>
    <xf numFmtId="0" fontId="24" fillId="0" borderId="6" xfId="0" applyFont="1" applyBorder="1" applyAlignment="1">
      <alignment horizontal="right" wrapText="1"/>
    </xf>
    <xf numFmtId="43" fontId="14" fillId="0" borderId="6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4" fontId="14" fillId="0" borderId="6" xfId="0" applyNumberFormat="1" applyFont="1" applyBorder="1" applyAlignment="1">
      <alignment horizontal="right" wrapText="1"/>
    </xf>
    <xf numFmtId="43" fontId="24" fillId="0" borderId="6" xfId="42" applyFont="1" applyFill="1" applyBorder="1" applyAlignment="1">
      <alignment horizontal="center"/>
    </xf>
    <xf numFmtId="43" fontId="14" fillId="0" borderId="6" xfId="42" applyFont="1" applyFill="1" applyBorder="1" applyAlignment="1">
      <alignment horizontal="center"/>
    </xf>
    <xf numFmtId="43" fontId="14" fillId="0" borderId="6" xfId="0" applyNumberFormat="1" applyFont="1" applyFill="1" applyBorder="1" applyAlignment="1">
      <alignment horizontal="center"/>
    </xf>
    <xf numFmtId="43" fontId="2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left" wrapText="1" indent="2"/>
    </xf>
    <xf numFmtId="43" fontId="4" fillId="0" borderId="6" xfId="42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6" xfId="0" applyNumberFormat="1" applyFont="1" applyFill="1" applyBorder="1" applyAlignment="1">
      <alignment wrapText="1"/>
    </xf>
    <xf numFmtId="43" fontId="16" fillId="0" borderId="6" xfId="42" applyNumberFormat="1" applyFont="1" applyFill="1" applyBorder="1" applyAlignment="1">
      <alignment/>
    </xf>
    <xf numFmtId="43" fontId="0" fillId="0" borderId="0" xfId="42" applyFont="1" applyAlignment="1">
      <alignment/>
    </xf>
    <xf numFmtId="190" fontId="3" fillId="0" borderId="0" xfId="0" applyNumberFormat="1" applyFont="1" applyFill="1" applyAlignment="1">
      <alignment horizontal="center" vertical="center" wrapText="1"/>
    </xf>
    <xf numFmtId="171" fontId="3" fillId="0" borderId="0" xfId="0" applyNumberFormat="1" applyFont="1" applyFill="1" applyAlignment="1">
      <alignment horizontal="center" vertical="center" wrapText="1"/>
    </xf>
    <xf numFmtId="43" fontId="91" fillId="0" borderId="6" xfId="42" applyFont="1" applyFill="1" applyBorder="1" applyAlignment="1">
      <alignment/>
    </xf>
    <xf numFmtId="43" fontId="37" fillId="37" borderId="6" xfId="42" applyFont="1" applyFill="1" applyBorder="1" applyAlignment="1">
      <alignment/>
    </xf>
    <xf numFmtId="0" fontId="0" fillId="0" borderId="6" xfId="67" applyFont="1" applyFill="1" applyBorder="1" applyAlignment="1">
      <alignment horizontal="center"/>
      <protection/>
    </xf>
    <xf numFmtId="3" fontId="0" fillId="0" borderId="6" xfId="69" applyNumberFormat="1" applyFont="1" applyFill="1" applyBorder="1" applyAlignment="1">
      <alignment horizontal="left"/>
      <protection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 vertical="center"/>
    </xf>
    <xf numFmtId="43" fontId="3" fillId="37" borderId="14" xfId="42" applyFont="1" applyFill="1" applyBorder="1" applyAlignment="1">
      <alignment horizontal="right"/>
    </xf>
    <xf numFmtId="43" fontId="3" fillId="0" borderId="14" xfId="42" applyFont="1" applyFill="1" applyBorder="1" applyAlignment="1">
      <alignment horizontal="right"/>
    </xf>
    <xf numFmtId="190" fontId="0" fillId="0" borderId="14" xfId="42" applyNumberFormat="1" applyFont="1" applyFill="1" applyBorder="1" applyAlignment="1">
      <alignment horizontal="right"/>
    </xf>
    <xf numFmtId="4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10" fontId="3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0" fontId="32" fillId="0" borderId="6" xfId="42" applyNumberFormat="1" applyFont="1" applyFill="1" applyBorder="1" applyAlignment="1" applyProtection="1">
      <alignment vertical="center"/>
      <protection/>
    </xf>
    <xf numFmtId="43" fontId="0" fillId="0" borderId="6" xfId="42" applyFont="1" applyFill="1" applyBorder="1" applyAlignment="1">
      <alignment horizontal="right" wrapText="1"/>
    </xf>
    <xf numFmtId="3" fontId="11" fillId="0" borderId="6" xfId="69" applyNumberFormat="1" applyFont="1" applyFill="1" applyBorder="1" applyAlignment="1">
      <alignment horizontal="right"/>
      <protection/>
    </xf>
    <xf numFmtId="0" fontId="3" fillId="0" borderId="14" xfId="67" applyFont="1" applyFill="1" applyBorder="1" applyAlignment="1">
      <alignment horizontal="center"/>
      <protection/>
    </xf>
    <xf numFmtId="3" fontId="11" fillId="0" borderId="14" xfId="69" applyNumberFormat="1" applyFont="1" applyFill="1" applyBorder="1" applyAlignment="1">
      <alignment horizontal="right"/>
      <protection/>
    </xf>
    <xf numFmtId="0" fontId="32" fillId="0" borderId="14" xfId="0" applyFont="1" applyFill="1" applyBorder="1" applyAlignment="1">
      <alignment vertical="center"/>
    </xf>
    <xf numFmtId="190" fontId="3" fillId="0" borderId="14" xfId="42" applyNumberFormat="1" applyFont="1" applyFill="1" applyBorder="1" applyAlignment="1">
      <alignment horizontal="right"/>
    </xf>
    <xf numFmtId="43" fontId="0" fillId="0" borderId="6" xfId="42" applyFont="1" applyFill="1" applyBorder="1" applyAlignment="1">
      <alignment wrapText="1"/>
    </xf>
    <xf numFmtId="43" fontId="3" fillId="0" borderId="6" xfId="42" applyFont="1" applyFill="1" applyBorder="1" applyAlignment="1">
      <alignment horizontal="right" wrapText="1"/>
    </xf>
    <xf numFmtId="171" fontId="0" fillId="0" borderId="0" xfId="0" applyNumberFormat="1" applyFont="1" applyFill="1" applyAlignment="1">
      <alignment vertical="center"/>
    </xf>
    <xf numFmtId="43" fontId="18" fillId="0" borderId="0" xfId="42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43" fontId="37" fillId="0" borderId="0" xfId="42" applyFont="1" applyFill="1" applyBorder="1" applyAlignment="1">
      <alignment/>
    </xf>
    <xf numFmtId="10" fontId="32" fillId="0" borderId="14" xfId="0" applyNumberFormat="1" applyFont="1" applyFill="1" applyBorder="1" applyAlignment="1">
      <alignment vertical="center"/>
    </xf>
    <xf numFmtId="211" fontId="0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6" xfId="63" applyFont="1" applyFill="1" applyBorder="1" applyAlignment="1">
      <alignment horizontal="left"/>
      <protection/>
    </xf>
    <xf numFmtId="0" fontId="4" fillId="0" borderId="6" xfId="63" applyFont="1" applyFill="1" applyBorder="1" applyAlignment="1">
      <alignment horizontal="left"/>
      <protection/>
    </xf>
    <xf numFmtId="0" fontId="14" fillId="39" borderId="6" xfId="63" applyFont="1" applyFill="1" applyBorder="1" applyAlignment="1">
      <alignment horizontal="right"/>
      <protection/>
    </xf>
    <xf numFmtId="187" fontId="14" fillId="39" borderId="6" xfId="42" applyNumberFormat="1" applyFont="1" applyFill="1" applyBorder="1" applyAlignment="1">
      <alignment horizontal="right" wrapText="1"/>
    </xf>
    <xf numFmtId="0" fontId="24" fillId="39" borderId="6" xfId="66" applyFont="1" applyFill="1" applyBorder="1" applyAlignment="1">
      <alignment horizontal="center"/>
      <protection/>
    </xf>
    <xf numFmtId="0" fontId="51" fillId="39" borderId="6" xfId="66" applyFont="1" applyFill="1" applyBorder="1" applyAlignment="1">
      <alignment horizontal="right"/>
      <protection/>
    </xf>
    <xf numFmtId="0" fontId="14" fillId="0" borderId="6" xfId="63" applyFont="1" applyFill="1" applyBorder="1" applyAlignment="1">
      <alignment horizontal="right" wrapText="1"/>
      <protection/>
    </xf>
    <xf numFmtId="0" fontId="18" fillId="39" borderId="6" xfId="63" applyFont="1" applyFill="1" applyBorder="1" applyAlignment="1">
      <alignment horizontal="left" shrinkToFit="1"/>
      <protection/>
    </xf>
    <xf numFmtId="0" fontId="18" fillId="39" borderId="6" xfId="63" applyFont="1" applyFill="1" applyBorder="1" applyAlignment="1">
      <alignment/>
      <protection/>
    </xf>
    <xf numFmtId="0" fontId="14" fillId="39" borderId="6" xfId="66" applyFont="1" applyFill="1" applyBorder="1" applyAlignment="1">
      <alignment horizontal="center"/>
      <protection/>
    </xf>
    <xf numFmtId="0" fontId="4" fillId="0" borderId="6" xfId="63" applyFont="1" applyFill="1" applyBorder="1" applyAlignment="1">
      <alignment/>
      <protection/>
    </xf>
    <xf numFmtId="187" fontId="14" fillId="0" borderId="6" xfId="42" applyNumberFormat="1" applyFont="1" applyFill="1" applyBorder="1" applyAlignment="1">
      <alignment horizontal="right" wrapText="1"/>
    </xf>
    <xf numFmtId="43" fontId="14" fillId="0" borderId="6" xfId="0" applyNumberFormat="1" applyFont="1" applyBorder="1" applyAlignment="1">
      <alignment/>
    </xf>
    <xf numFmtId="43" fontId="14" fillId="0" borderId="6" xfId="0" applyNumberFormat="1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33" fillId="0" borderId="6" xfId="64" applyFont="1" applyFill="1" applyBorder="1" applyAlignment="1">
      <alignment horizontal="left" vertical="center" wrapText="1" indent="3"/>
      <protection/>
    </xf>
    <xf numFmtId="190" fontId="24" fillId="0" borderId="6" xfId="45" applyFont="1" applyFill="1" applyBorder="1" applyAlignment="1" applyProtection="1">
      <alignment horizontal="left" indent="3"/>
      <protection/>
    </xf>
    <xf numFmtId="190" fontId="24" fillId="0" borderId="6" xfId="45" applyFont="1" applyFill="1" applyBorder="1" applyAlignment="1" applyProtection="1">
      <alignment horizontal="left" wrapText="1" indent="3"/>
      <protection/>
    </xf>
    <xf numFmtId="190" fontId="14" fillId="0" borderId="6" xfId="45" applyFont="1" applyFill="1" applyBorder="1" applyAlignment="1" applyProtection="1">
      <alignment horizontal="left" wrapText="1" indent="3"/>
      <protection/>
    </xf>
    <xf numFmtId="0" fontId="24" fillId="0" borderId="6" xfId="64" applyFont="1" applyFill="1" applyBorder="1" applyAlignment="1">
      <alignment horizontal="left" vertical="center" wrapText="1" indent="3"/>
      <protection/>
    </xf>
    <xf numFmtId="0" fontId="14" fillId="0" borderId="6" xfId="64" applyFont="1" applyFill="1" applyBorder="1" applyAlignment="1">
      <alignment horizontal="left" vertical="center" indent="3"/>
      <protection/>
    </xf>
    <xf numFmtId="0" fontId="33" fillId="0" borderId="6" xfId="64" applyFont="1" applyFill="1" applyBorder="1" applyAlignment="1">
      <alignment horizontal="left" indent="3"/>
      <protection/>
    </xf>
    <xf numFmtId="0" fontId="24" fillId="0" borderId="6" xfId="64" applyFont="1" applyFill="1" applyBorder="1" applyAlignment="1">
      <alignment horizontal="left" wrapText="1" indent="3"/>
      <protection/>
    </xf>
    <xf numFmtId="0" fontId="24" fillId="0" borderId="6" xfId="64" applyFont="1" applyFill="1" applyBorder="1" applyAlignment="1">
      <alignment horizontal="left" indent="3"/>
      <protection/>
    </xf>
    <xf numFmtId="43" fontId="14" fillId="0" borderId="0" xfId="0" applyNumberFormat="1" applyFont="1" applyAlignment="1">
      <alignment/>
    </xf>
    <xf numFmtId="187" fontId="33" fillId="39" borderId="6" xfId="42" applyNumberFormat="1" applyFont="1" applyFill="1" applyBorder="1" applyAlignment="1">
      <alignment horizontal="right" wrapText="1"/>
    </xf>
    <xf numFmtId="187" fontId="49" fillId="39" borderId="6" xfId="42" applyNumberFormat="1" applyFont="1" applyFill="1" applyBorder="1" applyAlignment="1">
      <alignment horizontal="right" wrapText="1"/>
    </xf>
    <xf numFmtId="216" fontId="49" fillId="39" borderId="6" xfId="42" applyNumberFormat="1" applyFont="1" applyFill="1" applyBorder="1" applyAlignment="1">
      <alignment horizontal="right" wrapText="1"/>
    </xf>
    <xf numFmtId="217" fontId="49" fillId="39" borderId="6" xfId="42" applyNumberFormat="1" applyFont="1" applyFill="1" applyBorder="1" applyAlignment="1">
      <alignment horizontal="right" wrapText="1"/>
    </xf>
    <xf numFmtId="43" fontId="24" fillId="0" borderId="6" xfId="0" applyNumberFormat="1" applyFont="1" applyBorder="1" applyAlignment="1">
      <alignment horizontal="right" vertical="center" wrapText="1"/>
    </xf>
    <xf numFmtId="0" fontId="24" fillId="39" borderId="6" xfId="63" applyFont="1" applyFill="1" applyBorder="1" applyAlignment="1">
      <alignment horizontal="left" shrinkToFit="1"/>
      <protection/>
    </xf>
    <xf numFmtId="0" fontId="14" fillId="0" borderId="6" xfId="66" applyFont="1" applyFill="1" applyBorder="1" applyAlignment="1">
      <alignment horizontal="center"/>
      <protection/>
    </xf>
    <xf numFmtId="0" fontId="41" fillId="0" borderId="0" xfId="0" applyFont="1" applyAlignment="1">
      <alignment vertical="center"/>
    </xf>
    <xf numFmtId="43" fontId="51" fillId="39" borderId="6" xfId="42" applyFont="1" applyFill="1" applyBorder="1" applyAlignment="1">
      <alignment horizontal="right" wrapText="1"/>
    </xf>
    <xf numFmtId="187" fontId="51" fillId="39" borderId="6" xfId="42" applyNumberFormat="1" applyFont="1" applyFill="1" applyBorder="1" applyAlignment="1">
      <alignment horizontal="right" wrapText="1"/>
    </xf>
    <xf numFmtId="43" fontId="51" fillId="0" borderId="6" xfId="42" applyFont="1" applyBorder="1" applyAlignment="1">
      <alignment horizontal="right" wrapText="1"/>
    </xf>
    <xf numFmtId="43" fontId="50" fillId="0" borderId="6" xfId="42" applyFont="1" applyBorder="1" applyAlignment="1">
      <alignment horizontal="right" wrapText="1"/>
    </xf>
    <xf numFmtId="0" fontId="51" fillId="0" borderId="0" xfId="0" applyFont="1" applyAlignment="1">
      <alignment vertical="center"/>
    </xf>
    <xf numFmtId="0" fontId="49" fillId="39" borderId="6" xfId="63" applyFont="1" applyFill="1" applyBorder="1" applyAlignment="1">
      <alignment horizontal="left" indent="3"/>
      <protection/>
    </xf>
    <xf numFmtId="0" fontId="49" fillId="39" borderId="6" xfId="63" applyFont="1" applyFill="1" applyBorder="1" applyAlignment="1">
      <alignment horizontal="left" wrapText="1" indent="3"/>
      <protection/>
    </xf>
    <xf numFmtId="0" fontId="41" fillId="0" borderId="6" xfId="0" applyFont="1" applyBorder="1" applyAlignment="1">
      <alignment horizontal="center" vertical="center" wrapText="1"/>
    </xf>
    <xf numFmtId="0" fontId="24" fillId="39" borderId="6" xfId="66" applyFont="1" applyFill="1" applyBorder="1" applyAlignment="1">
      <alignment/>
      <protection/>
    </xf>
    <xf numFmtId="43" fontId="3" fillId="0" borderId="6" xfId="42" applyFont="1" applyBorder="1" applyAlignment="1">
      <alignment/>
    </xf>
    <xf numFmtId="187" fontId="40" fillId="36" borderId="6" xfId="0" applyNumberFormat="1" applyFont="1" applyFill="1" applyBorder="1" applyAlignment="1">
      <alignment shrinkToFit="1"/>
    </xf>
    <xf numFmtId="43" fontId="0" fillId="0" borderId="6" xfId="42" applyFont="1" applyBorder="1" applyAlignment="1">
      <alignment/>
    </xf>
    <xf numFmtId="43" fontId="0" fillId="0" borderId="6" xfId="42" applyFont="1" applyFill="1" applyBorder="1" applyAlignment="1">
      <alignment horizontal="center"/>
    </xf>
    <xf numFmtId="43" fontId="0" fillId="0" borderId="6" xfId="42" applyFont="1" applyBorder="1" applyAlignment="1">
      <alignment horizontal="center"/>
    </xf>
    <xf numFmtId="43" fontId="0" fillId="0" borderId="6" xfId="42" applyFont="1" applyFill="1" applyBorder="1" applyAlignment="1">
      <alignment horizontal="left" indent="1"/>
    </xf>
    <xf numFmtId="43" fontId="95" fillId="10" borderId="6" xfId="42" applyFont="1" applyFill="1" applyBorder="1" applyAlignment="1">
      <alignment/>
    </xf>
    <xf numFmtId="43" fontId="16" fillId="37" borderId="6" xfId="0" applyNumberFormat="1" applyFont="1" applyFill="1" applyBorder="1" applyAlignment="1">
      <alignment/>
    </xf>
    <xf numFmtId="43" fontId="16" fillId="37" borderId="6" xfId="42" applyFont="1" applyFill="1" applyBorder="1" applyAlignment="1">
      <alignment/>
    </xf>
    <xf numFmtId="171" fontId="16" fillId="0" borderId="0" xfId="0" applyNumberFormat="1" applyFont="1" applyFill="1" applyBorder="1" applyAlignment="1">
      <alignment/>
    </xf>
    <xf numFmtId="191" fontId="18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43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lef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0" fontId="13" fillId="0" borderId="15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5" fillId="0" borderId="15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8" fillId="0" borderId="15" xfId="0" applyNumberFormat="1" applyFont="1" applyFill="1" applyBorder="1" applyAlignment="1">
      <alignment horizontal="right"/>
    </xf>
    <xf numFmtId="41" fontId="96" fillId="40" borderId="15" xfId="0" applyNumberFormat="1" applyFont="1" applyFill="1" applyBorder="1" applyAlignment="1">
      <alignment horizontal="left"/>
    </xf>
    <xf numFmtId="0" fontId="3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1" fontId="97" fillId="40" borderId="15" xfId="0" applyNumberFormat="1" applyFont="1" applyFill="1" applyBorder="1" applyAlignment="1">
      <alignment horizontal="left"/>
    </xf>
    <xf numFmtId="43" fontId="4" fillId="0" borderId="6" xfId="4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left" vertical="center"/>
    </xf>
    <xf numFmtId="0" fontId="29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17" fillId="0" borderId="12" xfId="65" applyFont="1" applyBorder="1" applyAlignment="1">
      <alignment horizontal="center" vertical="center" wrapText="1"/>
      <protection/>
    </xf>
    <xf numFmtId="0" fontId="17" fillId="0" borderId="17" xfId="65" applyFont="1" applyBorder="1" applyAlignment="1">
      <alignment horizontal="center" vertical="center" wrapText="1"/>
      <protection/>
    </xf>
    <xf numFmtId="0" fontId="17" fillId="0" borderId="13" xfId="65" applyFont="1" applyBorder="1" applyAlignment="1">
      <alignment horizontal="center" vertical="center" wrapText="1"/>
      <protection/>
    </xf>
    <xf numFmtId="0" fontId="17" fillId="0" borderId="6" xfId="65" applyFont="1" applyBorder="1" applyAlignment="1">
      <alignment horizontal="center" vertical="center" wrapText="1"/>
      <protection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0" fontId="4" fillId="0" borderId="12" xfId="65" applyFont="1" applyBorder="1" applyAlignment="1">
      <alignment horizontal="left" vertical="center"/>
      <protection/>
    </xf>
    <xf numFmtId="0" fontId="4" fillId="0" borderId="17" xfId="65" applyFont="1" applyBorder="1" applyAlignment="1">
      <alignment horizontal="left" vertical="center"/>
      <protection/>
    </xf>
    <xf numFmtId="0" fontId="4" fillId="0" borderId="13" xfId="65" applyFont="1" applyBorder="1" applyAlignment="1">
      <alignment horizontal="left" vertical="center"/>
      <protection/>
    </xf>
    <xf numFmtId="0" fontId="34" fillId="0" borderId="0" xfId="65" applyFont="1" applyBorder="1" applyAlignment="1">
      <alignment horizontal="left" vertical="center" shrinkToFit="1"/>
      <protection/>
    </xf>
    <xf numFmtId="0" fontId="14" fillId="0" borderId="0" xfId="65" applyFont="1" applyAlignment="1">
      <alignment horizontal="center" vertical="center"/>
      <protection/>
    </xf>
    <xf numFmtId="0" fontId="14" fillId="0" borderId="0" xfId="65" applyFont="1" applyBorder="1" applyAlignment="1">
      <alignment horizontal="left" vertical="center"/>
      <protection/>
    </xf>
    <xf numFmtId="0" fontId="14" fillId="0" borderId="0" xfId="65" applyFont="1" applyBorder="1" applyAlignment="1">
      <alignment horizontal="center" vertical="center"/>
      <protection/>
    </xf>
    <xf numFmtId="0" fontId="33" fillId="0" borderId="15" xfId="65" applyFont="1" applyBorder="1" applyAlignment="1">
      <alignment horizontal="right" vertical="center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14" fillId="0" borderId="15" xfId="65" applyFont="1" applyBorder="1" applyAlignment="1">
      <alignment horizontal="center" vertical="center"/>
      <protection/>
    </xf>
    <xf numFmtId="0" fontId="4" fillId="0" borderId="6" xfId="65" applyFont="1" applyBorder="1" applyAlignment="1">
      <alignment horizontal="center" vertical="center"/>
      <protection/>
    </xf>
    <xf numFmtId="0" fontId="14" fillId="0" borderId="12" xfId="65" applyFont="1" applyBorder="1" applyAlignment="1">
      <alignment horizontal="center" vertical="center" wrapText="1"/>
      <protection/>
    </xf>
    <xf numFmtId="0" fontId="14" fillId="0" borderId="17" xfId="65" applyFont="1" applyBorder="1" applyAlignment="1">
      <alignment horizontal="center" vertical="center" wrapText="1"/>
      <protection/>
    </xf>
    <xf numFmtId="0" fontId="14" fillId="0" borderId="13" xfId="65" applyFont="1" applyBorder="1" applyAlignment="1">
      <alignment horizontal="center" vertical="center" wrapText="1"/>
      <protection/>
    </xf>
    <xf numFmtId="0" fontId="14" fillId="0" borderId="6" xfId="65" applyFont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left" vertical="center" wrapText="1"/>
      <protection/>
    </xf>
    <xf numFmtId="0" fontId="33" fillId="0" borderId="15" xfId="0" applyFont="1" applyBorder="1" applyAlignment="1">
      <alignment horizontal="right" vertical="center" wrapText="1"/>
    </xf>
    <xf numFmtId="0" fontId="96" fillId="40" borderId="12" xfId="0" applyFont="1" applyFill="1" applyBorder="1" applyAlignment="1">
      <alignment horizontal="left" vertical="center" wrapText="1"/>
    </xf>
    <xf numFmtId="0" fontId="96" fillId="40" borderId="17" xfId="0" applyFont="1" applyFill="1" applyBorder="1" applyAlignment="1">
      <alignment horizontal="left" vertical="center" wrapText="1"/>
    </xf>
    <xf numFmtId="0" fontId="96" fillId="40" borderId="13" xfId="0" applyFont="1" applyFill="1" applyBorder="1" applyAlignment="1">
      <alignment horizontal="left" vertical="center" wrapText="1"/>
    </xf>
    <xf numFmtId="43" fontId="36" fillId="0" borderId="6" xfId="66" applyNumberFormat="1" applyFont="1" applyBorder="1" applyAlignment="1">
      <alignment horizontal="center" vertical="center"/>
      <protection/>
    </xf>
    <xf numFmtId="184" fontId="36" fillId="0" borderId="11" xfId="66" applyNumberFormat="1" applyFont="1" applyBorder="1" applyAlignment="1">
      <alignment horizontal="center" vertical="center" wrapText="1"/>
      <protection/>
    </xf>
    <xf numFmtId="184" fontId="36" fillId="0" borderId="14" xfId="66" applyNumberFormat="1" applyFont="1" applyBorder="1" applyAlignment="1">
      <alignment horizontal="center" vertical="center" wrapText="1"/>
      <protection/>
    </xf>
    <xf numFmtId="43" fontId="36" fillId="0" borderId="6" xfId="66" applyNumberFormat="1" applyFont="1" applyFill="1" applyBorder="1" applyAlignment="1">
      <alignment horizontal="center" vertical="center"/>
      <protection/>
    </xf>
    <xf numFmtId="43" fontId="36" fillId="0" borderId="6" xfId="66" applyNumberFormat="1" applyFont="1" applyBorder="1" applyAlignment="1">
      <alignment horizontal="center" vertical="center" wrapText="1"/>
      <protection/>
    </xf>
  </cellXfs>
  <cellStyles count="64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IDCO ~ OERC Review   FY 06-07" xfId="44"/>
    <cellStyle name="Comma_Mar 05 P&amp;L " xfId="45"/>
    <cellStyle name="Currency" xfId="46"/>
    <cellStyle name="Currency [0]" xfId="47"/>
    <cellStyle name="Explanatory Text" xfId="48"/>
    <cellStyle name="Followed Hyperlink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 3" xfId="62"/>
    <cellStyle name="Normal_Back to Back Loan with Cash support" xfId="63"/>
    <cellStyle name="Normal_Cash flow 2005-06" xfId="64"/>
    <cellStyle name="Normal_GRIDCO ~ OERC Review   FY 06-07" xfId="65"/>
    <cellStyle name="Normal_Input Sheet for sales &amp; purchase" xfId="66"/>
    <cellStyle name="Normal_LOAN 2005-06" xfId="67"/>
    <cellStyle name="Normal_Month-wise loan position" xfId="68"/>
    <cellStyle name="Normal_Month-wise loan position_Loan Repayment Schedule 2008-09" xfId="69"/>
    <cellStyle name="Note" xfId="70"/>
    <cellStyle name="Output" xfId="71"/>
    <cellStyle name="Percent" xfId="72"/>
    <cellStyle name="Percent [2]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p-hp\F\C%20Drive\S.M.PATNAIK\GRIDCO-CHHAYAKANT\unzipped\Orissa\Orissa\F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e.dirf\d\orissa\FI%20PROJECTION\Bonds%20to%20cp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rissa\FI%20PROJECTION\Bonds%20to%20cp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6"/>
      <sheetName val="Loan- Output (In Crore)"/>
      <sheetName val="Loan- Output"/>
      <sheetName val="Loan - 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d (REv)"/>
      <sheetName val="Bond"/>
      <sheetName val="details"/>
      <sheetName val="Terms &amp; Cond."/>
      <sheetName val="Calcul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nd (REv)"/>
      <sheetName val="Bond"/>
      <sheetName val="details"/>
      <sheetName val="Terms &amp; Cond."/>
      <sheetName val="Calcu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08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7109375" style="104" bestFit="1" customWidth="1"/>
    <col min="2" max="2" width="40.421875" style="104" customWidth="1"/>
    <col min="3" max="3" width="15.421875" style="104" bestFit="1" customWidth="1"/>
    <col min="4" max="4" width="13.140625" style="104" bestFit="1" customWidth="1"/>
    <col min="5" max="5" width="14.7109375" style="104" bestFit="1" customWidth="1"/>
    <col min="6" max="6" width="23.7109375" style="104" customWidth="1"/>
    <col min="7" max="7" width="14.140625" style="104" customWidth="1"/>
    <col min="8" max="8" width="12.00390625" style="104" bestFit="1" customWidth="1"/>
    <col min="9" max="16384" width="9.140625" style="104" customWidth="1"/>
  </cols>
  <sheetData>
    <row r="1" spans="1:6" s="94" customFormat="1" ht="12.75">
      <c r="A1" s="468" t="s">
        <v>306</v>
      </c>
      <c r="B1" s="468"/>
      <c r="C1" s="468"/>
      <c r="D1" s="468"/>
      <c r="E1" s="468"/>
      <c r="F1" s="468"/>
    </row>
    <row r="2" spans="1:6" s="94" customFormat="1" ht="12.75">
      <c r="A2" s="469" t="s">
        <v>195</v>
      </c>
      <c r="B2" s="469"/>
      <c r="C2" s="469"/>
      <c r="D2" s="469"/>
      <c r="E2" s="469"/>
      <c r="F2" s="469"/>
    </row>
    <row r="3" spans="1:6" s="94" customFormat="1" ht="15.75">
      <c r="A3" s="440" t="s">
        <v>305</v>
      </c>
      <c r="B3" s="440"/>
      <c r="C3" s="440"/>
      <c r="D3" s="440"/>
      <c r="E3" s="440"/>
      <c r="F3" s="440"/>
    </row>
    <row r="4" spans="1:6" s="94" customFormat="1" ht="20.25" customHeight="1">
      <c r="A4" s="460" t="s">
        <v>106</v>
      </c>
      <c r="B4" s="460"/>
      <c r="C4" s="460"/>
      <c r="D4" s="460"/>
      <c r="E4" s="460"/>
      <c r="F4" s="460"/>
    </row>
    <row r="5" spans="1:6" s="99" customFormat="1" ht="25.5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  <c r="F5" s="28" t="s">
        <v>233</v>
      </c>
    </row>
    <row r="6" spans="1:6" s="99" customFormat="1" ht="12.75">
      <c r="A6" s="22" t="s">
        <v>115</v>
      </c>
      <c r="B6" s="49" t="s">
        <v>237</v>
      </c>
      <c r="C6" s="22"/>
      <c r="D6" s="22"/>
      <c r="E6" s="22"/>
      <c r="F6" s="28"/>
    </row>
    <row r="7" spans="1:8" ht="19.5" customHeight="1">
      <c r="A7" s="247">
        <v>1</v>
      </c>
      <c r="B7" s="248" t="s">
        <v>235</v>
      </c>
      <c r="C7" s="249">
        <f>(15684851-C8)/10000000-C8</f>
        <v>1.2497650681280001</v>
      </c>
      <c r="D7" s="249">
        <f>C7+(C7+C8)*0.03</f>
        <v>1.29681962017184</v>
      </c>
      <c r="E7" s="249">
        <f>D7+(D7+D8)*0.03</f>
        <v>1.3462419687769953</v>
      </c>
      <c r="F7" s="250"/>
      <c r="G7" s="245"/>
      <c r="H7" s="245"/>
    </row>
    <row r="8" spans="1:8" ht="25.5">
      <c r="A8" s="247">
        <v>2</v>
      </c>
      <c r="B8" s="248" t="s">
        <v>234</v>
      </c>
      <c r="C8" s="249">
        <v>0.31872</v>
      </c>
      <c r="D8" s="249">
        <f>C8*1.1</f>
        <v>0.350592</v>
      </c>
      <c r="E8" s="249">
        <f>D8*1.1</f>
        <v>0.3856512</v>
      </c>
      <c r="F8" s="250" t="s">
        <v>600</v>
      </c>
      <c r="G8" s="245"/>
      <c r="H8" s="245"/>
    </row>
    <row r="9" spans="1:7" ht="19.5" customHeight="1">
      <c r="A9" s="247">
        <v>3</v>
      </c>
      <c r="B9" s="248" t="s">
        <v>105</v>
      </c>
      <c r="C9" s="249">
        <v>1.4013814</v>
      </c>
      <c r="D9" s="249">
        <f>(D7+D8)*1.07</f>
        <v>1.762730433583869</v>
      </c>
      <c r="E9" s="249">
        <f>(E7+E8)*1.21</f>
        <v>2.0955907342201643</v>
      </c>
      <c r="F9" s="250" t="s">
        <v>508</v>
      </c>
      <c r="G9" s="105"/>
    </row>
    <row r="10" spans="1:7" ht="19.5" customHeight="1">
      <c r="A10" s="247">
        <v>4</v>
      </c>
      <c r="B10" s="248" t="s">
        <v>236</v>
      </c>
      <c r="C10" s="249">
        <v>0.2196017</v>
      </c>
      <c r="D10" s="249">
        <f>(D8+D7)*0.15</f>
        <v>0.247111743025776</v>
      </c>
      <c r="E10" s="249">
        <f>(E8+E7)*0.15</f>
        <v>0.2597839753165493</v>
      </c>
      <c r="F10" s="250"/>
      <c r="G10" s="105"/>
    </row>
    <row r="11" spans="1:8" ht="19.5" customHeight="1">
      <c r="A11" s="247">
        <v>5</v>
      </c>
      <c r="B11" s="248" t="s">
        <v>41</v>
      </c>
      <c r="C11" s="249">
        <v>0.028827</v>
      </c>
      <c r="D11" s="249">
        <v>0.05</v>
      </c>
      <c r="E11" s="249">
        <v>0.05</v>
      </c>
      <c r="F11" s="250"/>
      <c r="G11" s="105"/>
      <c r="H11" s="245"/>
    </row>
    <row r="12" spans="1:7" ht="19.5" customHeight="1">
      <c r="A12" s="247">
        <v>6</v>
      </c>
      <c r="B12" s="248" t="s">
        <v>253</v>
      </c>
      <c r="C12" s="249">
        <v>0</v>
      </c>
      <c r="D12" s="249">
        <v>0</v>
      </c>
      <c r="E12" s="249">
        <v>0</v>
      </c>
      <c r="F12" s="250"/>
      <c r="G12" s="105"/>
    </row>
    <row r="13" spans="1:7" ht="19.5" customHeight="1">
      <c r="A13" s="247">
        <v>7</v>
      </c>
      <c r="B13" s="248" t="s">
        <v>42</v>
      </c>
      <c r="C13" s="249">
        <v>0</v>
      </c>
      <c r="D13" s="249">
        <v>0</v>
      </c>
      <c r="E13" s="249">
        <v>0</v>
      </c>
      <c r="F13" s="250"/>
      <c r="G13" s="105"/>
    </row>
    <row r="14" spans="1:7" s="109" customFormat="1" ht="19.5" customHeight="1">
      <c r="A14" s="251"/>
      <c r="B14" s="252" t="s">
        <v>243</v>
      </c>
      <c r="C14" s="253">
        <f>SUM(C7:C13)</f>
        <v>3.2182951681280003</v>
      </c>
      <c r="D14" s="253">
        <f>SUM(D7:D13)</f>
        <v>3.7072537967814845</v>
      </c>
      <c r="E14" s="253">
        <f>SUM(E7:E13)</f>
        <v>4.1372678783137085</v>
      </c>
      <c r="F14" s="253"/>
      <c r="G14" s="110"/>
    </row>
    <row r="15" spans="1:7" s="109" customFormat="1" ht="19.5" customHeight="1">
      <c r="A15" s="251" t="s">
        <v>116</v>
      </c>
      <c r="B15" s="252" t="s">
        <v>238</v>
      </c>
      <c r="C15" s="253"/>
      <c r="D15" s="253"/>
      <c r="E15" s="253"/>
      <c r="F15" s="254"/>
      <c r="G15" s="110"/>
    </row>
    <row r="16" spans="1:7" s="109" customFormat="1" ht="19.5" customHeight="1">
      <c r="A16" s="247">
        <v>1</v>
      </c>
      <c r="B16" s="255" t="s">
        <v>246</v>
      </c>
      <c r="C16" s="249">
        <v>0</v>
      </c>
      <c r="D16" s="249">
        <v>0</v>
      </c>
      <c r="E16" s="249">
        <v>0</v>
      </c>
      <c r="F16" s="250"/>
      <c r="G16" s="110"/>
    </row>
    <row r="17" spans="1:7" s="109" customFormat="1" ht="19.5" customHeight="1">
      <c r="A17" s="247">
        <v>2</v>
      </c>
      <c r="B17" s="255" t="s">
        <v>239</v>
      </c>
      <c r="C17" s="244">
        <v>0.2808933</v>
      </c>
      <c r="D17" s="244">
        <f>C17*1.1</f>
        <v>0.30898263000000004</v>
      </c>
      <c r="E17" s="244">
        <f>D17*1.1</f>
        <v>0.3398808930000001</v>
      </c>
      <c r="F17" s="250"/>
      <c r="G17" s="110"/>
    </row>
    <row r="18" spans="1:7" s="109" customFormat="1" ht="19.5" customHeight="1">
      <c r="A18" s="247">
        <v>3</v>
      </c>
      <c r="B18" s="255" t="s">
        <v>240</v>
      </c>
      <c r="C18" s="249">
        <v>0</v>
      </c>
      <c r="D18" s="249">
        <v>0</v>
      </c>
      <c r="E18" s="249">
        <v>0</v>
      </c>
      <c r="F18" s="250"/>
      <c r="G18" s="110"/>
    </row>
    <row r="19" spans="1:7" s="109" customFormat="1" ht="19.5" customHeight="1">
      <c r="A19" s="247">
        <v>4</v>
      </c>
      <c r="B19" s="255" t="s">
        <v>241</v>
      </c>
      <c r="C19" s="249">
        <v>0</v>
      </c>
      <c r="D19" s="249">
        <v>0</v>
      </c>
      <c r="E19" s="249">
        <v>0</v>
      </c>
      <c r="F19" s="250"/>
      <c r="G19" s="110"/>
    </row>
    <row r="20" spans="1:7" s="109" customFormat="1" ht="19.5" customHeight="1">
      <c r="A20" s="251"/>
      <c r="B20" s="252" t="s">
        <v>242</v>
      </c>
      <c r="C20" s="253">
        <f>SUM(C16:C19)</f>
        <v>0.2808933</v>
      </c>
      <c r="D20" s="253">
        <f>SUM(D16:D19)</f>
        <v>0.30898263000000004</v>
      </c>
      <c r="E20" s="253">
        <f>SUM(E16:E19)</f>
        <v>0.3398808930000001</v>
      </c>
      <c r="F20" s="249"/>
      <c r="G20" s="110"/>
    </row>
    <row r="21" spans="1:7" s="109" customFormat="1" ht="19.5" customHeight="1">
      <c r="A21" s="251" t="s">
        <v>28</v>
      </c>
      <c r="B21" s="252" t="s">
        <v>244</v>
      </c>
      <c r="C21" s="253"/>
      <c r="D21" s="253"/>
      <c r="E21" s="253"/>
      <c r="F21" s="254"/>
      <c r="G21" s="110"/>
    </row>
    <row r="22" spans="1:7" s="109" customFormat="1" ht="19.5" customHeight="1">
      <c r="A22" s="247">
        <v>1</v>
      </c>
      <c r="B22" s="255" t="s">
        <v>245</v>
      </c>
      <c r="C22" s="249">
        <v>0.0899087</v>
      </c>
      <c r="D22" s="249">
        <f>(D7+D8)*0.05+0.05</f>
        <v>0.132370581008592</v>
      </c>
      <c r="E22" s="249">
        <f>(E7+E8)*0.05+0.1</f>
        <v>0.1865946584388498</v>
      </c>
      <c r="F22" s="250"/>
      <c r="G22" s="110"/>
    </row>
    <row r="23" spans="1:7" s="109" customFormat="1" ht="19.5" customHeight="1">
      <c r="A23" s="247">
        <v>2</v>
      </c>
      <c r="B23" s="255" t="s">
        <v>6</v>
      </c>
      <c r="C23" s="249">
        <v>0.0362612</v>
      </c>
      <c r="D23" s="249">
        <v>0.05</v>
      </c>
      <c r="E23" s="249">
        <v>0.05</v>
      </c>
      <c r="F23" s="250"/>
      <c r="G23" s="110"/>
    </row>
    <row r="24" spans="1:7" s="109" customFormat="1" ht="19.5" customHeight="1">
      <c r="A24" s="247">
        <v>3</v>
      </c>
      <c r="B24" s="255" t="s">
        <v>43</v>
      </c>
      <c r="C24" s="249">
        <v>0</v>
      </c>
      <c r="D24" s="249">
        <v>0</v>
      </c>
      <c r="E24" s="249">
        <v>0</v>
      </c>
      <c r="F24" s="250"/>
      <c r="G24" s="110"/>
    </row>
    <row r="25" spans="1:7" s="109" customFormat="1" ht="19.5" customHeight="1">
      <c r="A25" s="247">
        <v>4</v>
      </c>
      <c r="B25" s="255" t="s">
        <v>44</v>
      </c>
      <c r="C25" s="249">
        <v>0</v>
      </c>
      <c r="D25" s="249">
        <v>0</v>
      </c>
      <c r="E25" s="249">
        <v>0</v>
      </c>
      <c r="F25" s="250"/>
      <c r="G25" s="110"/>
    </row>
    <row r="26" spans="1:7" s="109" customFormat="1" ht="19.5" customHeight="1">
      <c r="A26" s="247">
        <v>5</v>
      </c>
      <c r="B26" s="255" t="s">
        <v>45</v>
      </c>
      <c r="C26" s="249">
        <v>0.013845</v>
      </c>
      <c r="D26" s="249">
        <v>0.01</v>
      </c>
      <c r="E26" s="249">
        <v>0.01</v>
      </c>
      <c r="F26" s="250"/>
      <c r="G26" s="110"/>
    </row>
    <row r="27" spans="1:7" ht="19.5" customHeight="1">
      <c r="A27" s="247">
        <v>6</v>
      </c>
      <c r="B27" s="255" t="s">
        <v>46</v>
      </c>
      <c r="C27" s="249">
        <v>0</v>
      </c>
      <c r="D27" s="249">
        <f>0.00065*50</f>
        <v>0.0325</v>
      </c>
      <c r="E27" s="249">
        <v>0.05</v>
      </c>
      <c r="F27" s="256"/>
      <c r="G27" s="105"/>
    </row>
    <row r="28" spans="1:6" ht="19.5" customHeight="1">
      <c r="A28" s="247">
        <v>7</v>
      </c>
      <c r="B28" s="255" t="s">
        <v>48</v>
      </c>
      <c r="C28" s="249">
        <f>(424800+8424)/10000000</f>
        <v>0.0433224</v>
      </c>
      <c r="D28" s="249">
        <v>0.1</v>
      </c>
      <c r="E28" s="249">
        <v>0.12</v>
      </c>
      <c r="F28" s="248"/>
    </row>
    <row r="29" spans="1:7" ht="19.5" customHeight="1">
      <c r="A29" s="247">
        <v>8</v>
      </c>
      <c r="B29" s="255" t="s">
        <v>47</v>
      </c>
      <c r="C29" s="249">
        <v>0.0029185</v>
      </c>
      <c r="D29" s="249">
        <v>0.01</v>
      </c>
      <c r="E29" s="249">
        <v>0.01</v>
      </c>
      <c r="F29" s="248"/>
      <c r="G29" s="105"/>
    </row>
    <row r="30" spans="1:6" s="109" customFormat="1" ht="19.5" customHeight="1">
      <c r="A30" s="257"/>
      <c r="B30" s="257" t="s">
        <v>247</v>
      </c>
      <c r="C30" s="253">
        <f>SUM(C22:C29)</f>
        <v>0.18625579999999997</v>
      </c>
      <c r="D30" s="253">
        <f>SUM(D22:D29)</f>
        <v>0.334870581008592</v>
      </c>
      <c r="E30" s="253">
        <f>SUM(E22:E29)</f>
        <v>0.4265946584388498</v>
      </c>
      <c r="F30" s="253"/>
    </row>
    <row r="31" spans="1:6" s="109" customFormat="1" ht="23.25" customHeight="1">
      <c r="A31" s="257" t="s">
        <v>27</v>
      </c>
      <c r="B31" s="257" t="s">
        <v>49</v>
      </c>
      <c r="C31" s="253"/>
      <c r="D31" s="253"/>
      <c r="E31" s="253"/>
      <c r="F31" s="257"/>
    </row>
    <row r="32" spans="1:7" s="109" customFormat="1" ht="23.25" customHeight="1">
      <c r="A32" s="247">
        <v>1</v>
      </c>
      <c r="B32" s="248" t="s">
        <v>249</v>
      </c>
      <c r="C32" s="244">
        <v>0.390556</v>
      </c>
      <c r="D32" s="244">
        <f>(D7+D8)*0.3</f>
        <v>0.494223486051552</v>
      </c>
      <c r="E32" s="244">
        <f>(E7+E8)*0.3</f>
        <v>0.5195679506330986</v>
      </c>
      <c r="F32" s="248" t="s">
        <v>601</v>
      </c>
      <c r="G32" s="246"/>
    </row>
    <row r="33" spans="1:6" s="109" customFormat="1" ht="23.25" customHeight="1">
      <c r="A33" s="247">
        <v>2</v>
      </c>
      <c r="B33" s="248" t="s">
        <v>250</v>
      </c>
      <c r="C33" s="244">
        <v>0.0154688</v>
      </c>
      <c r="D33" s="244">
        <f>(D8+D7)*0.05</f>
        <v>0.08237058100859201</v>
      </c>
      <c r="E33" s="244">
        <f>(E8+E7)*0.05</f>
        <v>0.08659465843884978</v>
      </c>
      <c r="F33" s="248" t="s">
        <v>506</v>
      </c>
    </row>
    <row r="34" spans="1:9" s="109" customFormat="1" ht="23.25" customHeight="1">
      <c r="A34" s="247">
        <v>3</v>
      </c>
      <c r="B34" s="248" t="s">
        <v>251</v>
      </c>
      <c r="C34" s="244">
        <v>0.1648559</v>
      </c>
      <c r="D34" s="244">
        <f>(D9+D8)*0.15</f>
        <v>0.31699836503758033</v>
      </c>
      <c r="E34" s="244">
        <f>(E9+E8)*0.15</f>
        <v>0.3721862901330246</v>
      </c>
      <c r="F34" s="248" t="s">
        <v>507</v>
      </c>
      <c r="I34" s="243"/>
    </row>
    <row r="35" spans="1:9" s="109" customFormat="1" ht="23.25" customHeight="1">
      <c r="A35" s="247">
        <v>4</v>
      </c>
      <c r="B35" s="248" t="s">
        <v>254</v>
      </c>
      <c r="C35" s="244">
        <f>0.0129401</f>
        <v>0.0129401</v>
      </c>
      <c r="D35" s="244">
        <f>(D7+D8)*0.05</f>
        <v>0.08237058100859201</v>
      </c>
      <c r="E35" s="244">
        <f>(E7+E8)*0.05</f>
        <v>0.08659465843884978</v>
      </c>
      <c r="F35" s="248" t="s">
        <v>506</v>
      </c>
      <c r="I35" s="243"/>
    </row>
    <row r="36" spans="1:6" s="109" customFormat="1" ht="23.25" customHeight="1">
      <c r="A36" s="251"/>
      <c r="B36" s="257" t="s">
        <v>252</v>
      </c>
      <c r="C36" s="253">
        <f>SUM(C32:C35)</f>
        <v>0.5838208</v>
      </c>
      <c r="D36" s="253">
        <f>SUM(D32:D35)</f>
        <v>0.9759630131063162</v>
      </c>
      <c r="E36" s="253">
        <f>SUM(E32:E35)</f>
        <v>1.0649435576438226</v>
      </c>
      <c r="F36" s="253"/>
    </row>
    <row r="37" spans="1:8" s="109" customFormat="1" ht="23.25" customHeight="1">
      <c r="A37" s="251" t="s">
        <v>29</v>
      </c>
      <c r="B37" s="257" t="s">
        <v>248</v>
      </c>
      <c r="C37" s="253">
        <f>C36+C30+C20+C14</f>
        <v>4.269265068128</v>
      </c>
      <c r="D37" s="253">
        <f>D36+D30+D20+D14</f>
        <v>5.327070020896393</v>
      </c>
      <c r="E37" s="253">
        <f>E36+E30+E20+E14</f>
        <v>5.9686869873963815</v>
      </c>
      <c r="F37" s="253"/>
      <c r="G37" s="110"/>
      <c r="H37" s="110"/>
    </row>
    <row r="38" spans="1:6" ht="21.75" customHeight="1">
      <c r="A38" s="247" t="s">
        <v>30</v>
      </c>
      <c r="B38" s="230" t="s">
        <v>255</v>
      </c>
      <c r="C38" s="249">
        <v>0</v>
      </c>
      <c r="D38" s="249">
        <v>0</v>
      </c>
      <c r="E38" s="249">
        <v>0</v>
      </c>
      <c r="F38" s="248"/>
    </row>
    <row r="39" spans="1:6" s="109" customFormat="1" ht="21.75" customHeight="1">
      <c r="A39" s="251" t="s">
        <v>131</v>
      </c>
      <c r="B39" s="258" t="s">
        <v>256</v>
      </c>
      <c r="C39" s="253">
        <f>C37-C38</f>
        <v>4.269265068128</v>
      </c>
      <c r="D39" s="259">
        <f>D37-D38</f>
        <v>5.327070020896393</v>
      </c>
      <c r="E39" s="259">
        <f>E37-E38</f>
        <v>5.9686869873963815</v>
      </c>
      <c r="F39" s="259"/>
    </row>
    <row r="40" ht="12.75">
      <c r="E40" s="103"/>
    </row>
    <row r="42" spans="3:5" ht="12.75">
      <c r="C42" s="103"/>
      <c r="E42" s="103"/>
    </row>
    <row r="43" ht="12.75">
      <c r="C43" s="245"/>
    </row>
    <row r="44" spans="2:3" ht="12.75">
      <c r="B44" s="104" t="s">
        <v>510</v>
      </c>
      <c r="C44" s="103"/>
    </row>
  </sheetData>
  <sheetProtection/>
  <mergeCells count="4">
    <mergeCell ref="A4:F4"/>
    <mergeCell ref="A1:F1"/>
    <mergeCell ref="A2:F2"/>
    <mergeCell ref="A3:F3"/>
  </mergeCells>
  <printOptions horizontalCentered="1"/>
  <pageMargins left="0.45" right="0.43" top="0.63" bottom="0.8" header="0.41" footer="0.5"/>
  <pageSetup fitToHeight="1" fitToWidth="1" horizontalDpi="600" verticalDpi="600" orientation="portrait" paperSize="9" scale="85" r:id="rId1"/>
  <headerFooter alignWithMargins="0">
    <oddFooter>&amp;L&amp;F-&amp;A&amp;CPage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D14" sqref="D14"/>
    </sheetView>
  </sheetViews>
  <sheetFormatPr defaultColWidth="48.00390625" defaultRowHeight="12.75"/>
  <cols>
    <col min="1" max="1" width="6.421875" style="115" bestFit="1" customWidth="1"/>
    <col min="2" max="2" width="34.421875" style="115" bestFit="1" customWidth="1"/>
    <col min="3" max="5" width="15.00390625" style="115" customWidth="1"/>
    <col min="6" max="6" width="23.57421875" style="115" customWidth="1"/>
    <col min="7" max="7" width="61.421875" style="115" bestFit="1" customWidth="1"/>
    <col min="8" max="8" width="11.421875" style="115" bestFit="1" customWidth="1"/>
    <col min="9" max="16384" width="48.00390625" style="115" customWidth="1"/>
  </cols>
  <sheetData>
    <row r="1" spans="1:6" s="91" customFormat="1" ht="14.25">
      <c r="A1" s="468" t="s">
        <v>308</v>
      </c>
      <c r="B1" s="468"/>
      <c r="C1" s="468"/>
      <c r="D1" s="468"/>
      <c r="E1" s="468"/>
      <c r="F1" s="468"/>
    </row>
    <row r="2" spans="1:6" s="91" customFormat="1" ht="15">
      <c r="A2" s="450" t="s">
        <v>150</v>
      </c>
      <c r="B2" s="450"/>
      <c r="C2" s="450"/>
      <c r="D2" s="450"/>
      <c r="E2" s="450"/>
      <c r="F2" s="450"/>
    </row>
    <row r="3" spans="1:8" s="91" customFormat="1" ht="15">
      <c r="A3" s="451" t="s">
        <v>307</v>
      </c>
      <c r="B3" s="451"/>
      <c r="C3" s="451"/>
      <c r="D3" s="451"/>
      <c r="E3" s="451"/>
      <c r="F3" s="451"/>
      <c r="G3" s="93"/>
      <c r="H3" s="93"/>
    </row>
    <row r="4" spans="1:8" s="91" customFormat="1" ht="15">
      <c r="A4" s="470" t="s">
        <v>106</v>
      </c>
      <c r="B4" s="470"/>
      <c r="C4" s="470"/>
      <c r="D4" s="470"/>
      <c r="E4" s="470"/>
      <c r="F4" s="470"/>
      <c r="G4" s="93"/>
      <c r="H4" s="93"/>
    </row>
    <row r="5" spans="1:6" s="112" customFormat="1" ht="30" customHeight="1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  <c r="F5" s="28" t="s">
        <v>233</v>
      </c>
    </row>
    <row r="6" spans="1:6" ht="30" customHeight="1">
      <c r="A6" s="113">
        <v>1</v>
      </c>
      <c r="B6" s="114" t="s">
        <v>197</v>
      </c>
      <c r="C6" s="261">
        <v>0.0008078</v>
      </c>
      <c r="D6" s="261">
        <v>0.05</v>
      </c>
      <c r="E6" s="261">
        <v>0.05</v>
      </c>
      <c r="F6" s="114"/>
    </row>
    <row r="7" spans="1:6" ht="30" customHeight="1">
      <c r="A7" s="113">
        <v>2</v>
      </c>
      <c r="B7" s="114" t="s">
        <v>25</v>
      </c>
      <c r="C7" s="261">
        <v>0.0388176</v>
      </c>
      <c r="D7" s="261">
        <v>0.08</v>
      </c>
      <c r="E7" s="261">
        <v>0.1</v>
      </c>
      <c r="F7" s="114"/>
    </row>
    <row r="8" spans="1:6" ht="30" customHeight="1">
      <c r="A8" s="113">
        <v>3</v>
      </c>
      <c r="B8" s="114" t="s">
        <v>198</v>
      </c>
      <c r="C8" s="261">
        <v>0.0222213</v>
      </c>
      <c r="D8" s="261">
        <v>0.06</v>
      </c>
      <c r="E8" s="261">
        <v>0.06</v>
      </c>
      <c r="F8" s="114"/>
    </row>
    <row r="9" spans="1:6" ht="30" customHeight="1">
      <c r="A9" s="113">
        <v>4</v>
      </c>
      <c r="B9" s="114" t="s">
        <v>199</v>
      </c>
      <c r="C9" s="261">
        <v>0.0113167</v>
      </c>
      <c r="D9" s="261">
        <v>0.01</v>
      </c>
      <c r="E9" s="261">
        <v>0.03</v>
      </c>
      <c r="F9" s="114"/>
    </row>
    <row r="10" spans="1:6" ht="30" customHeight="1">
      <c r="A10" s="113">
        <v>5</v>
      </c>
      <c r="B10" s="114" t="s">
        <v>200</v>
      </c>
      <c r="C10" s="261">
        <v>0.1614997</v>
      </c>
      <c r="D10" s="261">
        <v>0.1</v>
      </c>
      <c r="E10" s="261">
        <v>0.06</v>
      </c>
      <c r="F10" s="114"/>
    </row>
    <row r="11" spans="1:6" ht="30" customHeight="1">
      <c r="A11" s="113">
        <v>6</v>
      </c>
      <c r="B11" s="116" t="s">
        <v>196</v>
      </c>
      <c r="C11" s="260">
        <f>SUM(C6:C10)</f>
        <v>0.2346631</v>
      </c>
      <c r="D11" s="260">
        <f>SUM(D6:D10)</f>
        <v>0.30000000000000004</v>
      </c>
      <c r="E11" s="260">
        <f>SUM(E6:E10)</f>
        <v>0.30000000000000004</v>
      </c>
      <c r="F11" s="114"/>
    </row>
    <row r="12" ht="14.25">
      <c r="A12" s="115" t="s">
        <v>50</v>
      </c>
    </row>
    <row r="13" ht="15">
      <c r="B13" s="117"/>
    </row>
    <row r="16" ht="14.25"/>
    <row r="17" ht="14.25"/>
    <row r="18" ht="14.25"/>
    <row r="19" ht="14.25"/>
  </sheetData>
  <sheetProtection/>
  <mergeCells count="4">
    <mergeCell ref="A1:F1"/>
    <mergeCell ref="A2:F2"/>
    <mergeCell ref="A3:F3"/>
    <mergeCell ref="A4:F4"/>
  </mergeCells>
  <printOptions horizontalCentered="1"/>
  <pageMargins left="0.36" right="0.41" top="1" bottom="1" header="0.5" footer="0.5"/>
  <pageSetup fitToHeight="1" fitToWidth="1" horizontalDpi="600" verticalDpi="600" orientation="portrait" paperSize="9" scale="89" r:id="rId3"/>
  <headerFooter alignWithMargins="0">
    <oddFooter>&amp;L&amp;F-&amp;A&amp;CPage-&amp;P of &amp;P&amp;R&amp;D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="98" zoomScaleNormal="98" zoomScalePageLayoutView="0" workbookViewId="0" topLeftCell="A19">
      <selection activeCell="D48" sqref="D48"/>
    </sheetView>
  </sheetViews>
  <sheetFormatPr defaultColWidth="6.57421875" defaultRowHeight="12.75"/>
  <cols>
    <col min="1" max="1" width="6.57421875" style="119" bestFit="1" customWidth="1"/>
    <col min="2" max="2" width="37.57421875" style="104" bestFit="1" customWidth="1"/>
    <col min="3" max="3" width="15.7109375" style="57" bestFit="1" customWidth="1"/>
    <col min="4" max="4" width="13.421875" style="104" bestFit="1" customWidth="1"/>
    <col min="5" max="5" width="15.00390625" style="104" bestFit="1" customWidth="1"/>
    <col min="6" max="6" width="13.7109375" style="104" customWidth="1"/>
    <col min="7" max="7" width="6.57421875" style="104" customWidth="1"/>
    <col min="8" max="10" width="6.8515625" style="104" customWidth="1"/>
    <col min="11" max="11" width="23.7109375" style="104" customWidth="1"/>
    <col min="12" max="16" width="6.8515625" style="104" customWidth="1"/>
    <col min="17" max="16384" width="6.57421875" style="104" customWidth="1"/>
  </cols>
  <sheetData>
    <row r="1" spans="1:6" s="94" customFormat="1" ht="12.75">
      <c r="A1" s="468" t="s">
        <v>309</v>
      </c>
      <c r="B1" s="468"/>
      <c r="C1" s="468"/>
      <c r="D1" s="468"/>
      <c r="E1" s="468"/>
      <c r="F1" s="468"/>
    </row>
    <row r="2" spans="1:6" s="94" customFormat="1" ht="12.75">
      <c r="A2" s="469" t="s">
        <v>195</v>
      </c>
      <c r="B2" s="469"/>
      <c r="C2" s="469"/>
      <c r="D2" s="469"/>
      <c r="E2" s="469"/>
      <c r="F2" s="469"/>
    </row>
    <row r="3" spans="1:7" s="94" customFormat="1" ht="15.75">
      <c r="A3" s="440" t="s">
        <v>310</v>
      </c>
      <c r="B3" s="440"/>
      <c r="C3" s="440"/>
      <c r="D3" s="440"/>
      <c r="E3" s="440"/>
      <c r="F3" s="440"/>
      <c r="G3" s="98"/>
    </row>
    <row r="4" spans="1:7" s="94" customFormat="1" ht="12.75">
      <c r="A4" s="470" t="s">
        <v>106</v>
      </c>
      <c r="B4" s="470"/>
      <c r="C4" s="470"/>
      <c r="D4" s="470"/>
      <c r="E4" s="470"/>
      <c r="F4" s="470"/>
      <c r="G4" s="98"/>
    </row>
    <row r="5" spans="1:6" s="99" customFormat="1" ht="33" customHeight="1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  <c r="F5" s="28" t="s">
        <v>233</v>
      </c>
    </row>
    <row r="6" spans="1:6" s="109" customFormat="1" ht="12.75">
      <c r="A6" s="100">
        <v>1</v>
      </c>
      <c r="B6" s="108" t="s">
        <v>257</v>
      </c>
      <c r="C6" s="232">
        <v>1.25</v>
      </c>
      <c r="D6" s="253">
        <f>C6</f>
        <v>1.25</v>
      </c>
      <c r="E6" s="253">
        <f>D6</f>
        <v>1.25</v>
      </c>
      <c r="F6" s="471" t="s">
        <v>602</v>
      </c>
    </row>
    <row r="7" spans="1:6" ht="12.75">
      <c r="A7" s="100">
        <v>2</v>
      </c>
      <c r="B7" s="108" t="s">
        <v>204</v>
      </c>
      <c r="C7" s="262"/>
      <c r="D7" s="262"/>
      <c r="E7" s="262"/>
      <c r="F7" s="472"/>
    </row>
    <row r="8" spans="1:6" ht="12.75">
      <c r="A8" s="100"/>
      <c r="B8" s="111" t="s">
        <v>201</v>
      </c>
      <c r="C8" s="243">
        <v>0.0514</v>
      </c>
      <c r="D8" s="249">
        <f>C8*1.15</f>
        <v>0.059109999999999996</v>
      </c>
      <c r="E8" s="249">
        <f>D8*1.15</f>
        <v>0.0679765</v>
      </c>
      <c r="F8" s="472"/>
    </row>
    <row r="9" spans="1:6" ht="12.75">
      <c r="A9" s="100"/>
      <c r="B9" s="111" t="s">
        <v>51</v>
      </c>
      <c r="C9" s="231">
        <v>0.0053259</v>
      </c>
      <c r="D9" s="249">
        <f>C9*1.15</f>
        <v>0.006124784999999999</v>
      </c>
      <c r="E9" s="249">
        <f>D9*1.15</f>
        <v>0.007043502749999998</v>
      </c>
      <c r="F9" s="472"/>
    </row>
    <row r="10" spans="1:6" ht="12.75">
      <c r="A10" s="100"/>
      <c r="B10" s="111" t="s">
        <v>63</v>
      </c>
      <c r="C10" s="231">
        <v>0</v>
      </c>
      <c r="D10" s="249">
        <v>0</v>
      </c>
      <c r="E10" s="249">
        <f>D10*1.1</f>
        <v>0</v>
      </c>
      <c r="F10" s="472"/>
    </row>
    <row r="11" spans="1:6" ht="12.75">
      <c r="A11" s="100"/>
      <c r="B11" s="107" t="s">
        <v>52</v>
      </c>
      <c r="C11" s="232">
        <f>SUM(C8:C10)</f>
        <v>0.0567259</v>
      </c>
      <c r="D11" s="232">
        <f>SUM(D8:D10)</f>
        <v>0.06523478499999999</v>
      </c>
      <c r="E11" s="232">
        <f>SUM(E8:E10)</f>
        <v>0.07502000275</v>
      </c>
      <c r="F11" s="472"/>
    </row>
    <row r="12" spans="1:6" ht="12.75">
      <c r="A12" s="100">
        <v>3</v>
      </c>
      <c r="B12" s="108" t="s">
        <v>205</v>
      </c>
      <c r="C12" s="231"/>
      <c r="D12" s="249"/>
      <c r="E12" s="249"/>
      <c r="F12" s="472"/>
    </row>
    <row r="13" spans="1:6" ht="12.75">
      <c r="A13" s="100"/>
      <c r="B13" s="111" t="s">
        <v>202</v>
      </c>
      <c r="C13" s="229">
        <v>0.0483296</v>
      </c>
      <c r="D13" s="249">
        <f aca="true" t="shared" si="0" ref="D13:E15">C13*1.15</f>
        <v>0.055579039999999996</v>
      </c>
      <c r="E13" s="249">
        <f t="shared" si="0"/>
        <v>0.06391589599999999</v>
      </c>
      <c r="F13" s="472"/>
    </row>
    <row r="14" spans="1:6" ht="12.75">
      <c r="A14" s="100"/>
      <c r="B14" s="111" t="s">
        <v>203</v>
      </c>
      <c r="C14" s="229">
        <v>0.0007181</v>
      </c>
      <c r="D14" s="249">
        <f t="shared" si="0"/>
        <v>0.000825815</v>
      </c>
      <c r="E14" s="249">
        <f t="shared" si="0"/>
        <v>0.0009496872499999999</v>
      </c>
      <c r="F14" s="472"/>
    </row>
    <row r="15" spans="1:6" ht="12.75">
      <c r="A15" s="100"/>
      <c r="B15" s="111" t="s">
        <v>53</v>
      </c>
      <c r="C15" s="231">
        <v>0.0011738</v>
      </c>
      <c r="D15" s="249">
        <f t="shared" si="0"/>
        <v>0.00134987</v>
      </c>
      <c r="E15" s="249">
        <f t="shared" si="0"/>
        <v>0.0015523504999999998</v>
      </c>
      <c r="F15" s="472"/>
    </row>
    <row r="16" spans="1:6" ht="12.75">
      <c r="A16" s="100"/>
      <c r="B16" s="111" t="s">
        <v>54</v>
      </c>
      <c r="C16" s="231">
        <v>0</v>
      </c>
      <c r="D16" s="249">
        <f>C16*1.1</f>
        <v>0</v>
      </c>
      <c r="E16" s="249">
        <f>D16*1.1</f>
        <v>0</v>
      </c>
      <c r="F16" s="472"/>
    </row>
    <row r="17" spans="1:6" ht="12.75">
      <c r="A17" s="100"/>
      <c r="B17" s="107" t="s">
        <v>52</v>
      </c>
      <c r="C17" s="232">
        <f>SUM(C13:C16)</f>
        <v>0.0502215</v>
      </c>
      <c r="D17" s="232">
        <f>SUM(D13:D16)</f>
        <v>0.057754725</v>
      </c>
      <c r="E17" s="232">
        <f>SUM(E13:E16)</f>
        <v>0.06641793374999998</v>
      </c>
      <c r="F17" s="472"/>
    </row>
    <row r="18" spans="1:6" ht="12.75">
      <c r="A18" s="100">
        <v>4</v>
      </c>
      <c r="B18" s="108" t="s">
        <v>206</v>
      </c>
      <c r="C18" s="231"/>
      <c r="D18" s="249"/>
      <c r="E18" s="249"/>
      <c r="F18" s="472"/>
    </row>
    <row r="19" spans="1:6" ht="12.75">
      <c r="A19" s="100"/>
      <c r="B19" s="111" t="s">
        <v>55</v>
      </c>
      <c r="C19" s="231">
        <v>0.7379959</v>
      </c>
      <c r="D19" s="249">
        <f aca="true" t="shared" si="1" ref="D19:D24">C19*1.15</f>
        <v>0.848695285</v>
      </c>
      <c r="E19" s="249">
        <f>D19*1.15</f>
        <v>0.9759995777499999</v>
      </c>
      <c r="F19" s="472"/>
    </row>
    <row r="20" spans="1:6" ht="12.75">
      <c r="A20" s="100"/>
      <c r="B20" s="111" t="s">
        <v>56</v>
      </c>
      <c r="C20" s="231">
        <f>0.0295338</f>
        <v>0.0295338</v>
      </c>
      <c r="D20" s="249">
        <f t="shared" si="1"/>
        <v>0.03396386999999999</v>
      </c>
      <c r="E20" s="249">
        <f>D20*1.15</f>
        <v>0.03905845049999999</v>
      </c>
      <c r="F20" s="472"/>
    </row>
    <row r="21" spans="1:6" ht="12.75">
      <c r="A21" s="100"/>
      <c r="B21" s="111" t="s">
        <v>57</v>
      </c>
      <c r="C21" s="231">
        <f>0.3155133</f>
        <v>0.3155133</v>
      </c>
      <c r="D21" s="249">
        <f t="shared" si="1"/>
        <v>0.362840295</v>
      </c>
      <c r="E21" s="249">
        <f>D21*1.15</f>
        <v>0.41726633924999995</v>
      </c>
      <c r="F21" s="472"/>
    </row>
    <row r="22" spans="1:6" ht="12.75">
      <c r="A22" s="100"/>
      <c r="B22" s="111" t="s">
        <v>58</v>
      </c>
      <c r="C22" s="231">
        <f>0.0202248+0.011236+0.0044944+0.0050562</f>
        <v>0.0410114</v>
      </c>
      <c r="D22" s="249">
        <f t="shared" si="1"/>
        <v>0.04716311</v>
      </c>
      <c r="E22" s="249">
        <f>D22*1.15</f>
        <v>0.054237576499999995</v>
      </c>
      <c r="F22" s="472"/>
    </row>
    <row r="23" spans="1:6" ht="12.75">
      <c r="A23" s="100"/>
      <c r="B23" s="111" t="s">
        <v>603</v>
      </c>
      <c r="C23" s="231">
        <v>0</v>
      </c>
      <c r="D23" s="249">
        <v>0.16</v>
      </c>
      <c r="E23" s="249">
        <v>0.16</v>
      </c>
      <c r="F23" s="472"/>
    </row>
    <row r="24" spans="1:6" ht="12.75">
      <c r="A24" s="100"/>
      <c r="B24" s="111" t="s">
        <v>59</v>
      </c>
      <c r="C24" s="231">
        <f>0.211857+0.0061094</f>
        <v>0.21796639999999998</v>
      </c>
      <c r="D24" s="249">
        <f t="shared" si="1"/>
        <v>0.25066135999999994</v>
      </c>
      <c r="E24" s="249">
        <f>D24*1.15</f>
        <v>0.2882605639999999</v>
      </c>
      <c r="F24" s="472"/>
    </row>
    <row r="25" spans="1:6" ht="12.75">
      <c r="A25" s="100"/>
      <c r="B25" s="107" t="s">
        <v>52</v>
      </c>
      <c r="C25" s="232">
        <f>SUM(C19:C24)</f>
        <v>1.3420207999999998</v>
      </c>
      <c r="D25" s="232">
        <f>SUM(D19:D24)</f>
        <v>1.7033239199999999</v>
      </c>
      <c r="E25" s="232">
        <f>SUM(E19:E24)</f>
        <v>1.9348225079999999</v>
      </c>
      <c r="F25" s="472"/>
    </row>
    <row r="26" spans="1:6" ht="12.75">
      <c r="A26" s="100">
        <v>5</v>
      </c>
      <c r="B26" s="108" t="s">
        <v>207</v>
      </c>
      <c r="C26" s="231"/>
      <c r="D26" s="249"/>
      <c r="E26" s="249"/>
      <c r="F26" s="472"/>
    </row>
    <row r="27" spans="1:6" ht="12.75">
      <c r="A27" s="100"/>
      <c r="B27" s="111" t="s">
        <v>60</v>
      </c>
      <c r="C27" s="229">
        <f>0.0108375</f>
        <v>0.0108375</v>
      </c>
      <c r="D27" s="249">
        <f aca="true" t="shared" si="2" ref="D27:E29">C27*1.15</f>
        <v>0.012463124999999999</v>
      </c>
      <c r="E27" s="249">
        <f t="shared" si="2"/>
        <v>0.014332593749999997</v>
      </c>
      <c r="F27" s="472"/>
    </row>
    <row r="28" spans="1:6" ht="12.75">
      <c r="A28" s="100"/>
      <c r="B28" s="111" t="s">
        <v>61</v>
      </c>
      <c r="C28" s="229">
        <v>0.2998133</v>
      </c>
      <c r="D28" s="249">
        <f t="shared" si="2"/>
        <v>0.344785295</v>
      </c>
      <c r="E28" s="249">
        <f t="shared" si="2"/>
        <v>0.39650308924999994</v>
      </c>
      <c r="F28" s="472"/>
    </row>
    <row r="29" spans="1:6" ht="12.75">
      <c r="A29" s="100"/>
      <c r="B29" s="111" t="s">
        <v>62</v>
      </c>
      <c r="C29" s="229">
        <f>0.1435547+0.1784649</f>
        <v>0.3220196</v>
      </c>
      <c r="D29" s="249">
        <f t="shared" si="2"/>
        <v>0.37032254</v>
      </c>
      <c r="E29" s="249">
        <f t="shared" si="2"/>
        <v>0.42587092099999996</v>
      </c>
      <c r="F29" s="472"/>
    </row>
    <row r="30" spans="1:6" ht="12.75">
      <c r="A30" s="100"/>
      <c r="B30" s="111" t="s">
        <v>63</v>
      </c>
      <c r="C30" s="231">
        <v>0</v>
      </c>
      <c r="D30" s="249">
        <f>C30*1.1</f>
        <v>0</v>
      </c>
      <c r="E30" s="249">
        <f>D30*1.1</f>
        <v>0</v>
      </c>
      <c r="F30" s="472"/>
    </row>
    <row r="31" spans="1:6" ht="12.75">
      <c r="A31" s="100"/>
      <c r="B31" s="107" t="s">
        <v>52</v>
      </c>
      <c r="C31" s="232">
        <f>SUM(C27:C30)</f>
        <v>0.6326704000000001</v>
      </c>
      <c r="D31" s="232">
        <f>SUM(D27:D30)</f>
        <v>0.72757096</v>
      </c>
      <c r="E31" s="232">
        <f>SUM(E27:E30)</f>
        <v>0.836706604</v>
      </c>
      <c r="F31" s="472"/>
    </row>
    <row r="32" spans="1:6" ht="12.75">
      <c r="A32" s="100">
        <v>6</v>
      </c>
      <c r="B32" s="108" t="s">
        <v>208</v>
      </c>
      <c r="C32" s="231"/>
      <c r="D32" s="249"/>
      <c r="E32" s="249"/>
      <c r="F32" s="472"/>
    </row>
    <row r="33" spans="1:6" ht="12.75">
      <c r="A33" s="100"/>
      <c r="B33" s="111" t="s">
        <v>64</v>
      </c>
      <c r="C33" s="229">
        <v>0.3440144</v>
      </c>
      <c r="D33" s="249">
        <f aca="true" t="shared" si="3" ref="D33:D42">C33*1.15</f>
        <v>0.39561655999999995</v>
      </c>
      <c r="E33" s="249">
        <f aca="true" t="shared" si="4" ref="E33:E42">D33*1.15</f>
        <v>0.4549590439999999</v>
      </c>
      <c r="F33" s="472"/>
    </row>
    <row r="34" spans="1:6" ht="12.75">
      <c r="A34" s="100"/>
      <c r="B34" s="111" t="s">
        <v>65</v>
      </c>
      <c r="C34" s="229">
        <v>0.0082227</v>
      </c>
      <c r="D34" s="249">
        <f t="shared" si="3"/>
        <v>0.009456105</v>
      </c>
      <c r="E34" s="249">
        <f t="shared" si="4"/>
        <v>0.010874520749999998</v>
      </c>
      <c r="F34" s="472"/>
    </row>
    <row r="35" spans="1:6" ht="12.75">
      <c r="A35" s="100"/>
      <c r="B35" s="111" t="s">
        <v>66</v>
      </c>
      <c r="C35" s="229">
        <v>0.0653921</v>
      </c>
      <c r="D35" s="249">
        <f t="shared" si="3"/>
        <v>0.075200915</v>
      </c>
      <c r="E35" s="249">
        <f t="shared" si="4"/>
        <v>0.08648105224999998</v>
      </c>
      <c r="F35" s="472"/>
    </row>
    <row r="36" spans="1:6" ht="12.75">
      <c r="A36" s="100"/>
      <c r="B36" s="111" t="s">
        <v>67</v>
      </c>
      <c r="C36" s="229">
        <v>0.046744</v>
      </c>
      <c r="D36" s="249">
        <f t="shared" si="3"/>
        <v>0.053755599999999994</v>
      </c>
      <c r="E36" s="249">
        <f t="shared" si="4"/>
        <v>0.06181893999999999</v>
      </c>
      <c r="F36" s="472"/>
    </row>
    <row r="37" spans="1:6" ht="12.75">
      <c r="A37" s="100"/>
      <c r="B37" s="111" t="s">
        <v>68</v>
      </c>
      <c r="C37" s="229">
        <v>0.0635741</v>
      </c>
      <c r="D37" s="249">
        <f t="shared" si="3"/>
        <v>0.07311021499999999</v>
      </c>
      <c r="E37" s="249">
        <f t="shared" si="4"/>
        <v>0.08407674724999999</v>
      </c>
      <c r="F37" s="472"/>
    </row>
    <row r="38" spans="1:6" ht="12.75">
      <c r="A38" s="100"/>
      <c r="B38" s="111" t="s">
        <v>509</v>
      </c>
      <c r="C38" s="229">
        <v>0.2220482</v>
      </c>
      <c r="D38" s="249">
        <f t="shared" si="3"/>
        <v>0.25535543</v>
      </c>
      <c r="E38" s="249">
        <f t="shared" si="4"/>
        <v>0.29365874449999996</v>
      </c>
      <c r="F38" s="472"/>
    </row>
    <row r="39" spans="1:6" ht="12.75">
      <c r="A39" s="100"/>
      <c r="B39" s="111" t="s">
        <v>69</v>
      </c>
      <c r="C39" s="243">
        <v>0.0050987</v>
      </c>
      <c r="D39" s="249">
        <f t="shared" si="3"/>
        <v>0.005863505</v>
      </c>
      <c r="E39" s="249">
        <f t="shared" si="4"/>
        <v>0.006743030749999999</v>
      </c>
      <c r="F39" s="472"/>
    </row>
    <row r="40" spans="1:6" ht="12.75">
      <c r="A40" s="100"/>
      <c r="B40" s="111" t="s">
        <v>70</v>
      </c>
      <c r="C40" s="231">
        <v>0</v>
      </c>
      <c r="D40" s="249">
        <f>C40*1.1</f>
        <v>0</v>
      </c>
      <c r="E40" s="249">
        <f t="shared" si="4"/>
        <v>0</v>
      </c>
      <c r="F40" s="472"/>
    </row>
    <row r="41" spans="1:6" ht="12.75">
      <c r="A41" s="100"/>
      <c r="B41" s="111" t="s">
        <v>71</v>
      </c>
      <c r="C41" s="229">
        <v>0.012499</v>
      </c>
      <c r="D41" s="249">
        <f t="shared" si="3"/>
        <v>0.014373849999999999</v>
      </c>
      <c r="E41" s="249">
        <f t="shared" si="4"/>
        <v>0.016529927499999996</v>
      </c>
      <c r="F41" s="472"/>
    </row>
    <row r="42" spans="1:6" ht="12.75">
      <c r="A42" s="100"/>
      <c r="B42" s="111" t="s">
        <v>63</v>
      </c>
      <c r="C42" s="229">
        <f>0.0267955+0.0006008+0.008+0.0248457+0.1533347+0.0295108</f>
        <v>0.24308749999999998</v>
      </c>
      <c r="D42" s="249">
        <f t="shared" si="3"/>
        <v>0.27955062499999994</v>
      </c>
      <c r="E42" s="249">
        <f t="shared" si="4"/>
        <v>0.3214832187499999</v>
      </c>
      <c r="F42" s="472"/>
    </row>
    <row r="43" spans="1:6" ht="12.75">
      <c r="A43" s="100"/>
      <c r="B43" s="107" t="s">
        <v>52</v>
      </c>
      <c r="C43" s="232">
        <f>SUM(C33:C42)</f>
        <v>1.0106807</v>
      </c>
      <c r="D43" s="232">
        <f>SUM(D33:D42)</f>
        <v>1.1622828049999998</v>
      </c>
      <c r="E43" s="232">
        <f>SUM(E33:E42)</f>
        <v>1.3366252257499998</v>
      </c>
      <c r="F43" s="473"/>
    </row>
    <row r="44" spans="1:11" s="109" customFormat="1" ht="18.75" customHeight="1">
      <c r="A44" s="106">
        <v>7</v>
      </c>
      <c r="B44" s="108" t="s">
        <v>311</v>
      </c>
      <c r="C44" s="232">
        <f>C43+C31+C25+C17+C11+C6</f>
        <v>4.3423193</v>
      </c>
      <c r="D44" s="232">
        <f>D43+D31+D25+D17+D11+D6</f>
        <v>4.966167195</v>
      </c>
      <c r="E44" s="232">
        <f>E43+E31+E25+E17+E11+E6</f>
        <v>5.499592274249999</v>
      </c>
      <c r="F44" s="257"/>
      <c r="K44" s="104"/>
    </row>
    <row r="45" spans="3:6" ht="12.75">
      <c r="C45" s="120"/>
      <c r="D45" s="118"/>
      <c r="E45" s="118"/>
      <c r="F45" s="102"/>
    </row>
    <row r="46" spans="3:5" ht="12.75">
      <c r="C46" s="121"/>
      <c r="D46" s="103"/>
      <c r="E46" s="103"/>
    </row>
    <row r="47" spans="3:5" ht="12.75">
      <c r="C47" s="122"/>
      <c r="D47" s="245"/>
      <c r="E47" s="103"/>
    </row>
    <row r="48" spans="3:5" ht="12.75">
      <c r="C48" s="122"/>
      <c r="D48" s="103"/>
      <c r="E48" s="103"/>
    </row>
    <row r="49" ht="12.75">
      <c r="C49" s="90"/>
    </row>
    <row r="51" ht="12.75">
      <c r="D51" s="103"/>
    </row>
  </sheetData>
  <sheetProtection/>
  <mergeCells count="5">
    <mergeCell ref="A1:F1"/>
    <mergeCell ref="A2:F2"/>
    <mergeCell ref="A3:F3"/>
    <mergeCell ref="A4:F4"/>
    <mergeCell ref="F6:F43"/>
  </mergeCells>
  <printOptions horizontalCentered="1"/>
  <pageMargins left="0.15748031496062992" right="0.1968503937007874" top="0.2755905511811024" bottom="0.2362204724409449" header="0.15748031496062992" footer="0.07874015748031496"/>
  <pageSetup horizontalDpi="600" verticalDpi="600" orientation="portrait" paperSize="9" scale="90" r:id="rId1"/>
  <headerFooter alignWithMargins="0">
    <oddFooter>&amp;L&amp;F-&amp;A&amp;CPage- &amp;P of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75" zoomScaleNormal="75" zoomScalePageLayoutView="0" workbookViewId="0" topLeftCell="A1">
      <selection activeCell="C4" sqref="C4:K4"/>
    </sheetView>
  </sheetViews>
  <sheetFormatPr defaultColWidth="9.140625" defaultRowHeight="12.75"/>
  <cols>
    <col min="1" max="1" width="7.140625" style="124" bestFit="1" customWidth="1"/>
    <col min="2" max="2" width="34.00390625" style="124" customWidth="1"/>
    <col min="3" max="3" width="14.57421875" style="124" bestFit="1" customWidth="1"/>
    <col min="4" max="4" width="19.140625" style="124" customWidth="1"/>
    <col min="5" max="5" width="13.7109375" style="124" bestFit="1" customWidth="1"/>
    <col min="6" max="6" width="14.57421875" style="124" bestFit="1" customWidth="1"/>
    <col min="7" max="7" width="19.140625" style="124" customWidth="1"/>
    <col min="8" max="8" width="13.7109375" style="124" bestFit="1" customWidth="1"/>
    <col min="9" max="9" width="14.57421875" style="124" bestFit="1" customWidth="1"/>
    <col min="10" max="10" width="19.140625" style="124" customWidth="1"/>
    <col min="11" max="11" width="13.7109375" style="124" bestFit="1" customWidth="1"/>
    <col min="12" max="16384" width="9.140625" style="124" customWidth="1"/>
  </cols>
  <sheetData>
    <row r="1" spans="1:11" s="77" customFormat="1" ht="21" customHeight="1">
      <c r="A1" s="475" t="s">
        <v>312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s="77" customFormat="1" ht="21" customHeight="1">
      <c r="A2" s="447" t="s">
        <v>169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s="77" customFormat="1" ht="21" customHeight="1">
      <c r="A3" s="476" t="s">
        <v>313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1" s="55" customFormat="1" ht="28.5" customHeight="1">
      <c r="A4" s="467" t="s">
        <v>37</v>
      </c>
      <c r="B4" s="467" t="s">
        <v>39</v>
      </c>
      <c r="C4" s="477" t="s">
        <v>576</v>
      </c>
      <c r="D4" s="478"/>
      <c r="E4" s="479"/>
      <c r="F4" s="480" t="s">
        <v>577</v>
      </c>
      <c r="G4" s="480"/>
      <c r="H4" s="480"/>
      <c r="I4" s="480" t="s">
        <v>578</v>
      </c>
      <c r="J4" s="480"/>
      <c r="K4" s="480"/>
    </row>
    <row r="5" spans="1:11" s="55" customFormat="1" ht="47.25">
      <c r="A5" s="467"/>
      <c r="B5" s="467"/>
      <c r="C5" s="7" t="s">
        <v>187</v>
      </c>
      <c r="D5" s="7" t="s">
        <v>209</v>
      </c>
      <c r="E5" s="7" t="s">
        <v>186</v>
      </c>
      <c r="F5" s="7" t="s">
        <v>187</v>
      </c>
      <c r="G5" s="7" t="s">
        <v>209</v>
      </c>
      <c r="H5" s="7" t="s">
        <v>186</v>
      </c>
      <c r="I5" s="7" t="s">
        <v>187</v>
      </c>
      <c r="J5" s="7" t="s">
        <v>209</v>
      </c>
      <c r="K5" s="7" t="s">
        <v>186</v>
      </c>
    </row>
    <row r="6" spans="1:11" ht="47.25">
      <c r="A6" s="8" t="s">
        <v>115</v>
      </c>
      <c r="B6" s="123" t="s">
        <v>74</v>
      </c>
      <c r="C6" s="7"/>
      <c r="D6" s="7"/>
      <c r="E6" s="7"/>
      <c r="F6" s="7"/>
      <c r="G6" s="7"/>
      <c r="H6" s="7"/>
      <c r="I6" s="7"/>
      <c r="J6" s="7"/>
      <c r="K6" s="7"/>
    </row>
    <row r="7" spans="1:11" ht="36.75" customHeight="1">
      <c r="A7" s="8"/>
      <c r="B7" s="123"/>
      <c r="C7" s="7"/>
      <c r="D7" s="7"/>
      <c r="E7" s="7"/>
      <c r="F7" s="7"/>
      <c r="G7" s="7"/>
      <c r="H7" s="7"/>
      <c r="I7" s="7"/>
      <c r="J7" s="7"/>
      <c r="K7" s="7"/>
    </row>
    <row r="8" spans="1:11" ht="36.75" customHeight="1">
      <c r="A8" s="8"/>
      <c r="B8" s="123"/>
      <c r="C8" s="7"/>
      <c r="D8" s="7"/>
      <c r="E8" s="7"/>
      <c r="F8" s="7"/>
      <c r="G8" s="7"/>
      <c r="H8" s="7"/>
      <c r="I8" s="7"/>
      <c r="J8" s="7"/>
      <c r="K8" s="7"/>
    </row>
    <row r="9" spans="1:11" ht="36.75" customHeight="1">
      <c r="A9" s="8"/>
      <c r="B9" s="123"/>
      <c r="C9" s="7"/>
      <c r="D9" s="7"/>
      <c r="E9" s="7"/>
      <c r="F9" s="7"/>
      <c r="G9" s="7"/>
      <c r="H9" s="7"/>
      <c r="I9" s="7"/>
      <c r="J9" s="7"/>
      <c r="K9" s="7"/>
    </row>
    <row r="10" spans="1:11" ht="36.75" customHeight="1">
      <c r="A10" s="8"/>
      <c r="B10" s="123"/>
      <c r="C10" s="7"/>
      <c r="D10" s="7"/>
      <c r="E10" s="7"/>
      <c r="F10" s="7"/>
      <c r="G10" s="7"/>
      <c r="H10" s="7"/>
      <c r="I10" s="7"/>
      <c r="J10" s="7"/>
      <c r="K10" s="7"/>
    </row>
    <row r="13" spans="2:6" ht="18">
      <c r="B13" s="474" t="s">
        <v>524</v>
      </c>
      <c r="C13" s="474"/>
      <c r="D13" s="474"/>
      <c r="E13" s="474"/>
      <c r="F13" s="474"/>
    </row>
    <row r="14" ht="15">
      <c r="A14" s="124" t="s">
        <v>50</v>
      </c>
    </row>
  </sheetData>
  <sheetProtection/>
  <mergeCells count="9">
    <mergeCell ref="B13:F13"/>
    <mergeCell ref="A1:K1"/>
    <mergeCell ref="A2:K2"/>
    <mergeCell ref="A3:K3"/>
    <mergeCell ref="A4:A5"/>
    <mergeCell ref="B4:B5"/>
    <mergeCell ref="C4:E4"/>
    <mergeCell ref="F4:H4"/>
    <mergeCell ref="I4:K4"/>
  </mergeCells>
  <printOptions horizontalCentered="1"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&amp;L&amp;F-&amp;A&amp;CPage-&amp;P of 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7"/>
  <sheetViews>
    <sheetView zoomScale="89" zoomScaleNormal="89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1" sqref="A11"/>
    </sheetView>
  </sheetViews>
  <sheetFormatPr defaultColWidth="9.140625" defaultRowHeight="12.75"/>
  <cols>
    <col min="1" max="1" width="34.7109375" style="124" bestFit="1" customWidth="1"/>
    <col min="2" max="2" width="13.421875" style="124" bestFit="1" customWidth="1"/>
    <col min="3" max="3" width="12.28125" style="124" bestFit="1" customWidth="1"/>
    <col min="4" max="4" width="10.28125" style="124" customWidth="1"/>
    <col min="5" max="5" width="13.28125" style="124" customWidth="1"/>
    <col min="6" max="6" width="12.00390625" style="124" bestFit="1" customWidth="1"/>
    <col min="7" max="7" width="12.57421875" style="124" customWidth="1"/>
    <col min="8" max="8" width="13.7109375" style="124" bestFit="1" customWidth="1"/>
    <col min="9" max="9" width="14.00390625" style="124" customWidth="1"/>
    <col min="10" max="12" width="12.00390625" style="124" bestFit="1" customWidth="1"/>
    <col min="13" max="13" width="12.421875" style="124" customWidth="1"/>
    <col min="14" max="15" width="13.8515625" style="124" customWidth="1"/>
    <col min="16" max="16" width="11.7109375" style="124" bestFit="1" customWidth="1"/>
    <col min="17" max="17" width="13.57421875" style="124" customWidth="1"/>
    <col min="18" max="18" width="14.00390625" style="124" customWidth="1"/>
    <col min="19" max="19" width="15.28125" style="124" customWidth="1"/>
    <col min="20" max="20" width="14.7109375" style="124" customWidth="1"/>
    <col min="21" max="21" width="12.00390625" style="124" bestFit="1" customWidth="1"/>
    <col min="22" max="22" width="11.57421875" style="124" customWidth="1"/>
    <col min="23" max="23" width="17.140625" style="124" customWidth="1"/>
    <col min="24" max="24" width="13.28125" style="124" customWidth="1"/>
    <col min="25" max="25" width="12.00390625" style="124" bestFit="1" customWidth="1"/>
    <col min="26" max="26" width="13.140625" style="124" customWidth="1"/>
    <col min="27" max="27" width="13.28125" style="124" customWidth="1"/>
    <col min="28" max="28" width="12.57421875" style="124" customWidth="1"/>
    <col min="29" max="29" width="12.8515625" style="124" bestFit="1" customWidth="1"/>
    <col min="30" max="16384" width="9.140625" style="124" customWidth="1"/>
  </cols>
  <sheetData>
    <row r="1" spans="1:29" ht="20.25">
      <c r="A1" s="125"/>
      <c r="B1" s="125"/>
      <c r="C1" s="483" t="s">
        <v>314</v>
      </c>
      <c r="D1" s="483"/>
      <c r="E1" s="483"/>
      <c r="F1" s="483"/>
      <c r="G1" s="483"/>
      <c r="H1" s="483"/>
      <c r="I1" s="483"/>
      <c r="J1" s="483"/>
      <c r="K1" s="483"/>
      <c r="L1" s="483" t="s">
        <v>316</v>
      </c>
      <c r="M1" s="483"/>
      <c r="N1" s="483"/>
      <c r="O1" s="483"/>
      <c r="P1" s="483"/>
      <c r="Q1" s="483"/>
      <c r="R1" s="483"/>
      <c r="S1" s="483"/>
      <c r="T1" s="483"/>
      <c r="U1" s="483" t="s">
        <v>362</v>
      </c>
      <c r="V1" s="483"/>
      <c r="W1" s="483"/>
      <c r="X1" s="483"/>
      <c r="Y1" s="483"/>
      <c r="Z1" s="483"/>
      <c r="AA1" s="483"/>
      <c r="AB1" s="483"/>
      <c r="AC1" s="483"/>
    </row>
    <row r="2" spans="1:29" ht="20.25">
      <c r="A2" s="125"/>
      <c r="B2" s="125"/>
      <c r="C2" s="474" t="s">
        <v>211</v>
      </c>
      <c r="D2" s="474"/>
      <c r="E2" s="474"/>
      <c r="F2" s="474"/>
      <c r="G2" s="474"/>
      <c r="H2" s="474"/>
      <c r="I2" s="474"/>
      <c r="J2" s="474"/>
      <c r="K2" s="474"/>
      <c r="L2" s="474" t="s">
        <v>211</v>
      </c>
      <c r="M2" s="474"/>
      <c r="N2" s="474"/>
      <c r="O2" s="474"/>
      <c r="P2" s="474"/>
      <c r="Q2" s="474"/>
      <c r="R2" s="474"/>
      <c r="S2" s="474"/>
      <c r="T2" s="474"/>
      <c r="U2" s="474" t="s">
        <v>211</v>
      </c>
      <c r="V2" s="474"/>
      <c r="W2" s="474"/>
      <c r="X2" s="474"/>
      <c r="Y2" s="474"/>
      <c r="Z2" s="474"/>
      <c r="AA2" s="474"/>
      <c r="AB2" s="474"/>
      <c r="AC2" s="474"/>
    </row>
    <row r="3" spans="1:29" ht="15.75">
      <c r="A3" s="126"/>
      <c r="B3" s="126"/>
      <c r="C3" s="483" t="s">
        <v>315</v>
      </c>
      <c r="D3" s="483"/>
      <c r="E3" s="483"/>
      <c r="F3" s="483"/>
      <c r="G3" s="483"/>
      <c r="H3" s="483"/>
      <c r="I3" s="483"/>
      <c r="J3" s="483"/>
      <c r="K3" s="483"/>
      <c r="L3" s="483" t="s">
        <v>315</v>
      </c>
      <c r="M3" s="483"/>
      <c r="N3" s="483"/>
      <c r="O3" s="483"/>
      <c r="P3" s="483"/>
      <c r="Q3" s="483"/>
      <c r="R3" s="483"/>
      <c r="S3" s="483"/>
      <c r="T3" s="483"/>
      <c r="U3" s="483" t="s">
        <v>210</v>
      </c>
      <c r="V3" s="483"/>
      <c r="W3" s="483"/>
      <c r="X3" s="483"/>
      <c r="Y3" s="483"/>
      <c r="Z3" s="483"/>
      <c r="AA3" s="483"/>
      <c r="AB3" s="483"/>
      <c r="AC3" s="483"/>
    </row>
    <row r="4" spans="1:29" s="57" customFormat="1" ht="12.75">
      <c r="A4" s="445" t="s">
        <v>39</v>
      </c>
      <c r="B4" s="481" t="s">
        <v>212</v>
      </c>
      <c r="C4" s="481" t="s">
        <v>579</v>
      </c>
      <c r="D4" s="481"/>
      <c r="E4" s="481"/>
      <c r="F4" s="481"/>
      <c r="G4" s="481"/>
      <c r="H4" s="481"/>
      <c r="I4" s="481"/>
      <c r="J4" s="481"/>
      <c r="K4" s="481"/>
      <c r="L4" s="481" t="s">
        <v>577</v>
      </c>
      <c r="M4" s="481"/>
      <c r="N4" s="481"/>
      <c r="O4" s="481"/>
      <c r="P4" s="481"/>
      <c r="Q4" s="481"/>
      <c r="R4" s="481"/>
      <c r="S4" s="481"/>
      <c r="T4" s="481"/>
      <c r="U4" s="481" t="s">
        <v>578</v>
      </c>
      <c r="V4" s="481"/>
      <c r="W4" s="481"/>
      <c r="X4" s="481"/>
      <c r="Y4" s="481"/>
      <c r="Z4" s="481"/>
      <c r="AA4" s="481"/>
      <c r="AB4" s="481"/>
      <c r="AC4" s="481"/>
    </row>
    <row r="5" spans="1:29" s="57" customFormat="1" ht="19.5" customHeight="1">
      <c r="A5" s="445"/>
      <c r="B5" s="481"/>
      <c r="C5" s="481" t="s">
        <v>76</v>
      </c>
      <c r="D5" s="481"/>
      <c r="E5" s="481"/>
      <c r="F5" s="481"/>
      <c r="G5" s="482" t="s">
        <v>77</v>
      </c>
      <c r="H5" s="482"/>
      <c r="I5" s="482"/>
      <c r="J5" s="482"/>
      <c r="K5" s="58" t="s">
        <v>78</v>
      </c>
      <c r="L5" s="481" t="s">
        <v>76</v>
      </c>
      <c r="M5" s="481"/>
      <c r="N5" s="481"/>
      <c r="O5" s="481"/>
      <c r="P5" s="482" t="s">
        <v>77</v>
      </c>
      <c r="Q5" s="482"/>
      <c r="R5" s="482"/>
      <c r="S5" s="482"/>
      <c r="T5" s="58" t="s">
        <v>78</v>
      </c>
      <c r="U5" s="481" t="s">
        <v>76</v>
      </c>
      <c r="V5" s="481"/>
      <c r="W5" s="481"/>
      <c r="X5" s="481"/>
      <c r="Y5" s="482" t="s">
        <v>77</v>
      </c>
      <c r="Z5" s="482"/>
      <c r="AA5" s="482"/>
      <c r="AB5" s="482"/>
      <c r="AC5" s="59" t="s">
        <v>78</v>
      </c>
    </row>
    <row r="6" spans="1:29" s="57" customFormat="1" ht="38.25">
      <c r="A6" s="445"/>
      <c r="B6" s="481"/>
      <c r="C6" s="56" t="s">
        <v>511</v>
      </c>
      <c r="D6" s="56" t="s">
        <v>110</v>
      </c>
      <c r="E6" s="56" t="s">
        <v>111</v>
      </c>
      <c r="F6" s="56" t="s">
        <v>512</v>
      </c>
      <c r="G6" s="56" t="s">
        <v>511</v>
      </c>
      <c r="H6" s="56" t="s">
        <v>110</v>
      </c>
      <c r="I6" s="56" t="s">
        <v>111</v>
      </c>
      <c r="J6" s="56" t="s">
        <v>512</v>
      </c>
      <c r="K6" s="56" t="s">
        <v>513</v>
      </c>
      <c r="L6" s="56" t="s">
        <v>514</v>
      </c>
      <c r="M6" s="56" t="s">
        <v>110</v>
      </c>
      <c r="N6" s="56" t="s">
        <v>111</v>
      </c>
      <c r="O6" s="56" t="s">
        <v>515</v>
      </c>
      <c r="P6" s="56" t="s">
        <v>514</v>
      </c>
      <c r="Q6" s="56" t="s">
        <v>110</v>
      </c>
      <c r="R6" s="56" t="s">
        <v>111</v>
      </c>
      <c r="S6" s="56" t="s">
        <v>515</v>
      </c>
      <c r="T6" s="56" t="s">
        <v>516</v>
      </c>
      <c r="U6" s="56" t="s">
        <v>581</v>
      </c>
      <c r="V6" s="56" t="s">
        <v>110</v>
      </c>
      <c r="W6" s="56" t="s">
        <v>111</v>
      </c>
      <c r="X6" s="56" t="s">
        <v>582</v>
      </c>
      <c r="Y6" s="56" t="s">
        <v>581</v>
      </c>
      <c r="Z6" s="56" t="s">
        <v>110</v>
      </c>
      <c r="AA6" s="56" t="s">
        <v>111</v>
      </c>
      <c r="AB6" s="56" t="s">
        <v>582</v>
      </c>
      <c r="AC6" s="56" t="s">
        <v>583</v>
      </c>
    </row>
    <row r="7" spans="1:29" s="57" customFormat="1" ht="15" customHeight="1">
      <c r="A7" s="25"/>
      <c r="B7" s="25"/>
      <c r="C7" s="56">
        <v>1</v>
      </c>
      <c r="D7" s="56">
        <v>2</v>
      </c>
      <c r="E7" s="56">
        <v>3</v>
      </c>
      <c r="F7" s="56" t="s">
        <v>112</v>
      </c>
      <c r="G7" s="56">
        <v>5</v>
      </c>
      <c r="H7" s="56">
        <v>6</v>
      </c>
      <c r="I7" s="56">
        <v>7</v>
      </c>
      <c r="J7" s="56" t="s">
        <v>113</v>
      </c>
      <c r="K7" s="56" t="s">
        <v>114</v>
      </c>
      <c r="L7" s="56">
        <v>1</v>
      </c>
      <c r="M7" s="56">
        <v>2</v>
      </c>
      <c r="N7" s="56">
        <v>3</v>
      </c>
      <c r="O7" s="56" t="s">
        <v>112</v>
      </c>
      <c r="P7" s="56">
        <v>5</v>
      </c>
      <c r="Q7" s="56">
        <v>6</v>
      </c>
      <c r="R7" s="56">
        <v>7</v>
      </c>
      <c r="S7" s="56" t="s">
        <v>113</v>
      </c>
      <c r="T7" s="56" t="s">
        <v>114</v>
      </c>
      <c r="U7" s="56">
        <v>1</v>
      </c>
      <c r="V7" s="56">
        <v>2</v>
      </c>
      <c r="W7" s="56">
        <v>3</v>
      </c>
      <c r="X7" s="56" t="s">
        <v>112</v>
      </c>
      <c r="Y7" s="56">
        <v>5</v>
      </c>
      <c r="Z7" s="56">
        <v>6</v>
      </c>
      <c r="AA7" s="56">
        <v>7</v>
      </c>
      <c r="AB7" s="56" t="s">
        <v>113</v>
      </c>
      <c r="AC7" s="56" t="s">
        <v>114</v>
      </c>
    </row>
    <row r="8" spans="1:29" s="129" customFormat="1" ht="33" customHeight="1">
      <c r="A8" s="127" t="s">
        <v>24</v>
      </c>
      <c r="B8" s="81">
        <v>10</v>
      </c>
      <c r="C8" s="128">
        <v>0.1434117</v>
      </c>
      <c r="D8" s="128">
        <f>'F-1'!C14</f>
        <v>0.1071008</v>
      </c>
      <c r="E8" s="128">
        <v>0</v>
      </c>
      <c r="F8" s="128">
        <f>C8+D8-E8</f>
        <v>0.2505125</v>
      </c>
      <c r="G8" s="81">
        <v>0.0134622</v>
      </c>
      <c r="H8" s="137">
        <v>0.0103253</v>
      </c>
      <c r="I8" s="128">
        <v>0</v>
      </c>
      <c r="J8" s="128">
        <f>G8+H8-I8</f>
        <v>0.023787500000000003</v>
      </c>
      <c r="K8" s="128">
        <f>F8-J8</f>
        <v>0.226725</v>
      </c>
      <c r="L8" s="128">
        <f>F8</f>
        <v>0.2505125</v>
      </c>
      <c r="M8" s="81">
        <f>'F-1'!D14</f>
        <v>0.05</v>
      </c>
      <c r="N8" s="128">
        <v>0</v>
      </c>
      <c r="O8" s="128">
        <f>L8+M8-N8</f>
        <v>0.3005125</v>
      </c>
      <c r="P8" s="128">
        <f>J8</f>
        <v>0.023787500000000003</v>
      </c>
      <c r="Q8" s="128">
        <f>L8*B8%+M8*B8%/2</f>
        <v>0.027551250000000006</v>
      </c>
      <c r="R8" s="128">
        <v>0</v>
      </c>
      <c r="S8" s="128">
        <f>P8+Q8-R8</f>
        <v>0.05133875000000001</v>
      </c>
      <c r="T8" s="128">
        <f>O8-S8</f>
        <v>0.24917375</v>
      </c>
      <c r="U8" s="128">
        <f>O8</f>
        <v>0.3005125</v>
      </c>
      <c r="V8" s="81">
        <f>'F-1'!E14</f>
        <v>0.05</v>
      </c>
      <c r="W8" s="128">
        <v>0</v>
      </c>
      <c r="X8" s="128">
        <f>U8+V8-W8</f>
        <v>0.3505125</v>
      </c>
      <c r="Y8" s="128">
        <f>S8</f>
        <v>0.05133875000000001</v>
      </c>
      <c r="Z8" s="128">
        <f>ROUND(U8*B8%,2)+V8/2*B8%</f>
        <v>0.0325</v>
      </c>
      <c r="AA8" s="128">
        <v>0</v>
      </c>
      <c r="AB8" s="128">
        <f>Y8+Z8-AA8</f>
        <v>0.08383875000000002</v>
      </c>
      <c r="AC8" s="128">
        <f>X8-AB8</f>
        <v>0.26667375</v>
      </c>
    </row>
    <row r="9" spans="1:29" s="129" customFormat="1" ht="33" customHeight="1">
      <c r="A9" s="130" t="s">
        <v>25</v>
      </c>
      <c r="B9" s="81">
        <v>20</v>
      </c>
      <c r="C9" s="128">
        <v>0.9253768</v>
      </c>
      <c r="D9" s="128">
        <f>'F-1'!C15</f>
        <v>0.3963482</v>
      </c>
      <c r="E9" s="128">
        <v>0</v>
      </c>
      <c r="F9" s="128">
        <f>C9+D9-E9</f>
        <v>1.321725</v>
      </c>
      <c r="G9" s="137">
        <v>0.395866</v>
      </c>
      <c r="H9" s="137">
        <v>0.1724264</v>
      </c>
      <c r="I9" s="128">
        <v>0</v>
      </c>
      <c r="J9" s="128">
        <f>G9+H9-I9</f>
        <v>0.5682924</v>
      </c>
      <c r="K9" s="128">
        <f>F9-J9</f>
        <v>0.7534326</v>
      </c>
      <c r="L9" s="128">
        <f>F9</f>
        <v>1.321725</v>
      </c>
      <c r="M9" s="81">
        <f>'F-1'!D15</f>
        <v>0.2</v>
      </c>
      <c r="N9" s="128">
        <v>0</v>
      </c>
      <c r="O9" s="128">
        <f>L9+M9-N9</f>
        <v>1.521725</v>
      </c>
      <c r="P9" s="128">
        <f>J9</f>
        <v>0.5682924</v>
      </c>
      <c r="Q9" s="128">
        <f>L9*B9%+M9*B9%/2</f>
        <v>0.284345</v>
      </c>
      <c r="R9" s="128">
        <v>0</v>
      </c>
      <c r="S9" s="128">
        <f>P9+Q9-R9</f>
        <v>0.8526374000000001</v>
      </c>
      <c r="T9" s="128">
        <f>O9-S9</f>
        <v>0.6690875999999999</v>
      </c>
      <c r="U9" s="128">
        <f>O9</f>
        <v>1.521725</v>
      </c>
      <c r="V9" s="81">
        <f>'F-1'!E15</f>
        <v>0.05</v>
      </c>
      <c r="W9" s="128">
        <v>0</v>
      </c>
      <c r="X9" s="128">
        <f>U9+V9-W9</f>
        <v>1.571725</v>
      </c>
      <c r="Y9" s="128">
        <f>S9</f>
        <v>0.8526374000000001</v>
      </c>
      <c r="Z9" s="128">
        <f>ROUND(U9*B9%,2)+V9/2*B9%</f>
        <v>0.305</v>
      </c>
      <c r="AA9" s="128">
        <v>0</v>
      </c>
      <c r="AB9" s="128">
        <f>Y9+Z9-AA9</f>
        <v>1.1576374</v>
      </c>
      <c r="AC9" s="128">
        <f>X9-AB9</f>
        <v>0.4140876</v>
      </c>
    </row>
    <row r="10" spans="1:29" s="129" customFormat="1" ht="33" customHeight="1">
      <c r="A10" s="130" t="s">
        <v>79</v>
      </c>
      <c r="B10" s="81">
        <v>10</v>
      </c>
      <c r="C10" s="128">
        <v>0.2574915</v>
      </c>
      <c r="D10" s="128">
        <f>'F-1'!C16</f>
        <v>0</v>
      </c>
      <c r="E10" s="128">
        <v>0</v>
      </c>
      <c r="F10" s="128">
        <f>C10+D10-E10</f>
        <v>0.2574915</v>
      </c>
      <c r="G10" s="81">
        <v>0.0886451</v>
      </c>
      <c r="H10" s="137">
        <v>0.0244619</v>
      </c>
      <c r="I10" s="128">
        <v>0</v>
      </c>
      <c r="J10" s="128">
        <f>G10+H10-I10</f>
        <v>0.11310700000000001</v>
      </c>
      <c r="K10" s="128">
        <f>F10-J10</f>
        <v>0.14438449999999997</v>
      </c>
      <c r="L10" s="128">
        <f>F10</f>
        <v>0.2574915</v>
      </c>
      <c r="M10" s="81">
        <f>'F-1'!D16</f>
        <v>0</v>
      </c>
      <c r="N10" s="128">
        <v>0</v>
      </c>
      <c r="O10" s="128">
        <f>L10+M10-N10</f>
        <v>0.2574915</v>
      </c>
      <c r="P10" s="128">
        <f>J10</f>
        <v>0.11310700000000001</v>
      </c>
      <c r="Q10" s="128">
        <f>L10*B10%+M10*B10%/2</f>
        <v>0.02574915</v>
      </c>
      <c r="R10" s="128">
        <v>0</v>
      </c>
      <c r="S10" s="128">
        <f>P10+Q10-R10</f>
        <v>0.13885615</v>
      </c>
      <c r="T10" s="128">
        <f>O10-S10</f>
        <v>0.11863534999999997</v>
      </c>
      <c r="U10" s="128">
        <f>O10</f>
        <v>0.2574915</v>
      </c>
      <c r="V10" s="81">
        <f>'F-1'!E16</f>
        <v>0.3</v>
      </c>
      <c r="W10" s="128">
        <v>0</v>
      </c>
      <c r="X10" s="128">
        <f>U10+V10-W10</f>
        <v>0.5574915</v>
      </c>
      <c r="Y10" s="128">
        <f>S10</f>
        <v>0.13885615</v>
      </c>
      <c r="Z10" s="128">
        <f>ROUND(U10*B10%,2)+V10/2*B10%</f>
        <v>0.045</v>
      </c>
      <c r="AA10" s="128">
        <v>0</v>
      </c>
      <c r="AB10" s="128">
        <f>Y10+Z10-AA10</f>
        <v>0.18385615</v>
      </c>
      <c r="AC10" s="128">
        <f>X10-AB10</f>
        <v>0.37363535000000003</v>
      </c>
    </row>
    <row r="11" spans="1:29" s="129" customFormat="1" ht="33" customHeight="1">
      <c r="A11" s="130" t="s">
        <v>81</v>
      </c>
      <c r="B11" s="81">
        <v>10</v>
      </c>
      <c r="C11" s="128">
        <v>0.0666458</v>
      </c>
      <c r="D11" s="128">
        <f>'F-1'!C17</f>
        <v>0.06847</v>
      </c>
      <c r="E11" s="128">
        <v>0</v>
      </c>
      <c r="F11" s="128">
        <f>C11+D11-E11</f>
        <v>0.1351158</v>
      </c>
      <c r="G11" s="137">
        <v>0.0228491</v>
      </c>
      <c r="H11" s="137">
        <v>0.0192033</v>
      </c>
      <c r="I11" s="128">
        <v>0</v>
      </c>
      <c r="J11" s="128">
        <f>G11+H11-I11</f>
        <v>0.042052400000000004</v>
      </c>
      <c r="K11" s="128">
        <f>F11-J11</f>
        <v>0.0930634</v>
      </c>
      <c r="L11" s="128">
        <f>F11</f>
        <v>0.1351158</v>
      </c>
      <c r="M11" s="81">
        <f>'F-1'!D17</f>
        <v>0.05</v>
      </c>
      <c r="N11" s="128">
        <v>0</v>
      </c>
      <c r="O11" s="128">
        <f>L11+M11-N11</f>
        <v>0.1851158</v>
      </c>
      <c r="P11" s="128">
        <f>J11</f>
        <v>0.042052400000000004</v>
      </c>
      <c r="Q11" s="128">
        <f>L11*B11%+M11*B11%/2</f>
        <v>0.016011580000000004</v>
      </c>
      <c r="R11" s="128">
        <v>0</v>
      </c>
      <c r="S11" s="128">
        <f>P11+Q11-R11</f>
        <v>0.05806398000000001</v>
      </c>
      <c r="T11" s="128">
        <f>O11-S11</f>
        <v>0.12705181999999998</v>
      </c>
      <c r="U11" s="128">
        <f>O11</f>
        <v>0.1851158</v>
      </c>
      <c r="V11" s="81">
        <f>'F-1'!E17</f>
        <v>0.05</v>
      </c>
      <c r="W11" s="128">
        <v>0</v>
      </c>
      <c r="X11" s="128">
        <f>U11+V11-W11</f>
        <v>0.23511579999999999</v>
      </c>
      <c r="Y11" s="128">
        <f>S11</f>
        <v>0.05806398000000001</v>
      </c>
      <c r="Z11" s="128">
        <f>ROUND(U11*B11%,2)+V11/2*B11%</f>
        <v>0.0225</v>
      </c>
      <c r="AA11" s="128">
        <v>0</v>
      </c>
      <c r="AB11" s="128">
        <f>Y11+Z11-AA11</f>
        <v>0.08056398000000001</v>
      </c>
      <c r="AC11" s="128">
        <f>X11-AB11</f>
        <v>0.15455181999999998</v>
      </c>
    </row>
    <row r="12" spans="1:29" s="129" customFormat="1" ht="33" customHeight="1">
      <c r="A12" s="130" t="s">
        <v>80</v>
      </c>
      <c r="B12" s="81">
        <v>10</v>
      </c>
      <c r="C12" s="128">
        <v>0.0034269</v>
      </c>
      <c r="D12" s="128">
        <f>'F-1'!C18</f>
        <v>0.0175367</v>
      </c>
      <c r="E12" s="128">
        <v>0</v>
      </c>
      <c r="F12" s="128">
        <f>C12+D12-E12</f>
        <v>0.0209636</v>
      </c>
      <c r="G12" s="81">
        <v>0.0003343</v>
      </c>
      <c r="H12" s="137">
        <v>0.0007234</v>
      </c>
      <c r="I12" s="128">
        <v>0</v>
      </c>
      <c r="J12" s="128">
        <f>G12+H12-I12</f>
        <v>0.0010577</v>
      </c>
      <c r="K12" s="128">
        <f>F12-J12</f>
        <v>0.019905899999999997</v>
      </c>
      <c r="L12" s="128">
        <f>F12</f>
        <v>0.0209636</v>
      </c>
      <c r="M12" s="81">
        <f>'F-1'!D18</f>
        <v>0.05</v>
      </c>
      <c r="N12" s="128">
        <v>0</v>
      </c>
      <c r="O12" s="128">
        <f>L12+M12-N12</f>
        <v>0.0709636</v>
      </c>
      <c r="P12" s="128">
        <f>J12</f>
        <v>0.0010577</v>
      </c>
      <c r="Q12" s="128">
        <f>L12*B12%+M12*B12%/2</f>
        <v>0.004596360000000001</v>
      </c>
      <c r="R12" s="128"/>
      <c r="S12" s="128">
        <f>P12+Q12-R12</f>
        <v>0.005654060000000001</v>
      </c>
      <c r="T12" s="128">
        <f>O12-S12</f>
        <v>0.06530954</v>
      </c>
      <c r="U12" s="128">
        <f>O12</f>
        <v>0.0709636</v>
      </c>
      <c r="V12" s="81">
        <f>'F-1'!E18</f>
        <v>0.05</v>
      </c>
      <c r="W12" s="128">
        <v>0</v>
      </c>
      <c r="X12" s="128">
        <f>U12+V12-W12</f>
        <v>0.1209636</v>
      </c>
      <c r="Y12" s="128">
        <f>S12</f>
        <v>0.005654060000000001</v>
      </c>
      <c r="Z12" s="128">
        <f>ROUND(U12*B12%,2)+V12/2*B12%</f>
        <v>0.0125</v>
      </c>
      <c r="AA12" s="128">
        <v>0</v>
      </c>
      <c r="AB12" s="128">
        <f>Y12+Z12-AA12</f>
        <v>0.01815406</v>
      </c>
      <c r="AC12" s="128">
        <f>X12-AB12</f>
        <v>0.10280954</v>
      </c>
    </row>
    <row r="13" spans="1:29" s="129" customFormat="1" ht="33" customHeight="1">
      <c r="A13" s="131" t="s">
        <v>32</v>
      </c>
      <c r="B13" s="131"/>
      <c r="C13" s="133">
        <f>SUM(C8:C12)</f>
        <v>1.3963527</v>
      </c>
      <c r="D13" s="132">
        <f aca="true" t="shared" si="0" ref="D13:AC13">SUM(D8:D12)</f>
        <v>0.5894557</v>
      </c>
      <c r="E13" s="132">
        <f t="shared" si="0"/>
        <v>0</v>
      </c>
      <c r="F13" s="132">
        <f t="shared" si="0"/>
        <v>1.9858083999999998</v>
      </c>
      <c r="G13" s="133">
        <f t="shared" si="0"/>
        <v>0.5211566999999999</v>
      </c>
      <c r="H13" s="133">
        <f t="shared" si="0"/>
        <v>0.22714030000000004</v>
      </c>
      <c r="I13" s="132">
        <f t="shared" si="0"/>
        <v>0</v>
      </c>
      <c r="J13" s="132">
        <f t="shared" si="0"/>
        <v>0.748297</v>
      </c>
      <c r="K13" s="133">
        <f t="shared" si="0"/>
        <v>1.2375113999999998</v>
      </c>
      <c r="L13" s="132">
        <f t="shared" si="0"/>
        <v>1.9858083999999998</v>
      </c>
      <c r="M13" s="132">
        <f t="shared" si="0"/>
        <v>0.35</v>
      </c>
      <c r="N13" s="132">
        <f t="shared" si="0"/>
        <v>0</v>
      </c>
      <c r="O13" s="132">
        <f t="shared" si="0"/>
        <v>2.3358084</v>
      </c>
      <c r="P13" s="132">
        <f t="shared" si="0"/>
        <v>0.748297</v>
      </c>
      <c r="Q13" s="132">
        <f t="shared" si="0"/>
        <v>0.3582533400000001</v>
      </c>
      <c r="R13" s="132">
        <f t="shared" si="0"/>
        <v>0</v>
      </c>
      <c r="S13" s="132">
        <f t="shared" si="0"/>
        <v>1.10655034</v>
      </c>
      <c r="T13" s="132">
        <f t="shared" si="0"/>
        <v>1.2292580599999998</v>
      </c>
      <c r="U13" s="132">
        <f t="shared" si="0"/>
        <v>2.3358084</v>
      </c>
      <c r="V13" s="132">
        <f t="shared" si="0"/>
        <v>0.5</v>
      </c>
      <c r="W13" s="132">
        <f t="shared" si="0"/>
        <v>0</v>
      </c>
      <c r="X13" s="132">
        <f t="shared" si="0"/>
        <v>2.8358084</v>
      </c>
      <c r="Y13" s="132">
        <f t="shared" si="0"/>
        <v>1.10655034</v>
      </c>
      <c r="Z13" s="132">
        <f t="shared" si="0"/>
        <v>0.41750000000000004</v>
      </c>
      <c r="AA13" s="132">
        <f t="shared" si="0"/>
        <v>0</v>
      </c>
      <c r="AB13" s="132">
        <f t="shared" si="0"/>
        <v>1.52405034</v>
      </c>
      <c r="AC13" s="132">
        <f t="shared" si="0"/>
        <v>1.31175806</v>
      </c>
    </row>
    <row r="14" ht="15">
      <c r="O14" s="134"/>
    </row>
    <row r="15" spans="8:15" ht="15">
      <c r="H15" s="145"/>
      <c r="O15" s="134"/>
    </row>
    <row r="16" spans="8:28" ht="15">
      <c r="H16" s="263"/>
      <c r="AB16" s="145"/>
    </row>
    <row r="17" ht="15">
      <c r="H17" s="263"/>
    </row>
    <row r="18" ht="15">
      <c r="H18" s="263"/>
    </row>
    <row r="19" ht="15">
      <c r="H19" s="263"/>
    </row>
    <row r="20" ht="15">
      <c r="H20" s="263"/>
    </row>
    <row r="21" ht="15">
      <c r="H21" s="263"/>
    </row>
    <row r="22" ht="15">
      <c r="H22" s="263"/>
    </row>
    <row r="23" ht="15">
      <c r="H23" s="263"/>
    </row>
    <row r="24" ht="15">
      <c r="H24" s="263"/>
    </row>
    <row r="25" ht="15">
      <c r="H25" s="263"/>
    </row>
    <row r="26" ht="15">
      <c r="H26" s="263"/>
    </row>
    <row r="27" ht="15">
      <c r="H27" s="263"/>
    </row>
  </sheetData>
  <sheetProtection/>
  <mergeCells count="20">
    <mergeCell ref="C1:K1"/>
    <mergeCell ref="C2:K2"/>
    <mergeCell ref="C3:K3"/>
    <mergeCell ref="A4:A6"/>
    <mergeCell ref="B4:B6"/>
    <mergeCell ref="C5:F5"/>
    <mergeCell ref="G5:J5"/>
    <mergeCell ref="U3:AC3"/>
    <mergeCell ref="U2:AC2"/>
    <mergeCell ref="U1:AC1"/>
    <mergeCell ref="L1:T1"/>
    <mergeCell ref="L2:T2"/>
    <mergeCell ref="L3:T3"/>
    <mergeCell ref="L5:O5"/>
    <mergeCell ref="U4:AC4"/>
    <mergeCell ref="U5:X5"/>
    <mergeCell ref="Y5:AB5"/>
    <mergeCell ref="P5:S5"/>
    <mergeCell ref="C4:K4"/>
    <mergeCell ref="L4:T4"/>
  </mergeCells>
  <printOptions horizontalCentered="1"/>
  <pageMargins left="0.31496062992125984" right="0.15748031496062992" top="0.7" bottom="0.7086614173228347" header="0.31496062992125984" footer="0.1968503937007874"/>
  <pageSetup horizontalDpi="600" verticalDpi="600" orientation="landscape" paperSize="9" scale="83" r:id="rId1"/>
  <headerFooter alignWithMargins="0">
    <oddFooter>&amp;L&amp;F  /&amp;A&amp;R&amp;D</oddFooter>
  </headerFooter>
  <colBreaks count="2" manualBreakCount="2">
    <brk id="11" max="23" man="1"/>
    <brk id="20" max="2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7.57421875" style="124" customWidth="1"/>
    <col min="2" max="2" width="33.421875" style="124" customWidth="1"/>
    <col min="3" max="4" width="18.28125" style="124" customWidth="1"/>
    <col min="5" max="5" width="19.421875" style="124" customWidth="1"/>
    <col min="6" max="16384" width="9.140625" style="124" customWidth="1"/>
  </cols>
  <sheetData>
    <row r="1" spans="1:5" s="77" customFormat="1" ht="15.75">
      <c r="A1" s="441" t="s">
        <v>317</v>
      </c>
      <c r="B1" s="441"/>
      <c r="C1" s="441"/>
      <c r="D1" s="441"/>
      <c r="E1" s="441"/>
    </row>
    <row r="2" spans="1:5" s="77" customFormat="1" ht="28.5" customHeight="1">
      <c r="A2" s="442" t="s">
        <v>149</v>
      </c>
      <c r="B2" s="442"/>
      <c r="C2" s="442"/>
      <c r="D2" s="442"/>
      <c r="E2" s="442"/>
    </row>
    <row r="3" spans="1:5" s="77" customFormat="1" ht="21" customHeight="1">
      <c r="A3" s="440" t="s">
        <v>318</v>
      </c>
      <c r="B3" s="440"/>
      <c r="C3" s="440"/>
      <c r="D3" s="440"/>
      <c r="E3" s="440"/>
    </row>
    <row r="4" spans="1:5" s="77" customFormat="1" ht="15">
      <c r="A4" s="484" t="s">
        <v>106</v>
      </c>
      <c r="B4" s="484"/>
      <c r="C4" s="484"/>
      <c r="D4" s="484"/>
      <c r="E4" s="484"/>
    </row>
    <row r="5" spans="1:5" s="94" customFormat="1" ht="30" customHeight="1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</row>
    <row r="6" spans="1:5" ht="34.5" customHeight="1">
      <c r="A6" s="135">
        <v>1</v>
      </c>
      <c r="B6" s="136" t="s">
        <v>1</v>
      </c>
      <c r="C6" s="137">
        <v>0</v>
      </c>
      <c r="D6" s="137">
        <v>0</v>
      </c>
      <c r="E6" s="137">
        <v>0</v>
      </c>
    </row>
    <row r="7" spans="1:5" ht="34.5" customHeight="1">
      <c r="A7" s="135">
        <v>2</v>
      </c>
      <c r="B7" s="136" t="s">
        <v>2</v>
      </c>
      <c r="C7" s="137">
        <v>0</v>
      </c>
      <c r="D7" s="137">
        <v>0</v>
      </c>
      <c r="E7" s="137">
        <v>0</v>
      </c>
    </row>
    <row r="8" spans="1:5" ht="34.5" customHeight="1">
      <c r="A8" s="135">
        <v>3</v>
      </c>
      <c r="B8" s="136" t="s">
        <v>3</v>
      </c>
      <c r="C8" s="137">
        <v>0</v>
      </c>
      <c r="D8" s="137">
        <v>0</v>
      </c>
      <c r="E8" s="137">
        <v>0</v>
      </c>
    </row>
    <row r="9" spans="1:5" ht="34.5" customHeight="1">
      <c r="A9" s="138"/>
      <c r="B9" s="139" t="s">
        <v>40</v>
      </c>
      <c r="C9" s="137">
        <v>0</v>
      </c>
      <c r="D9" s="137">
        <v>0</v>
      </c>
      <c r="E9" s="137">
        <v>0</v>
      </c>
    </row>
    <row r="11" spans="1:5" ht="18" customHeight="1">
      <c r="A11" s="485" t="s">
        <v>213</v>
      </c>
      <c r="B11" s="485"/>
      <c r="C11" s="485"/>
      <c r="D11" s="485"/>
      <c r="E11" s="485"/>
    </row>
  </sheetData>
  <sheetProtection/>
  <mergeCells count="5">
    <mergeCell ref="A1:E1"/>
    <mergeCell ref="A2:E2"/>
    <mergeCell ref="A3:E3"/>
    <mergeCell ref="A4:E4"/>
    <mergeCell ref="A11:E11"/>
  </mergeCells>
  <printOptions horizontalCentered="1"/>
  <pageMargins left="0.75" right="0.75" top="1" bottom="1" header="0.5" footer="0.5"/>
  <pageSetup horizontalDpi="600" verticalDpi="600" orientation="landscape" paperSize="9" scale="120" r:id="rId3"/>
  <headerFooter alignWithMargins="0">
    <oddHeader>&amp;R&amp;A</oddHeader>
    <oddFooter>&amp;L&amp;F-&amp;A&amp;CPage-&amp;P of &amp;P&amp;R&amp;D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00390625" style="124" customWidth="1"/>
    <col min="2" max="2" width="56.00390625" style="129" customWidth="1"/>
    <col min="3" max="5" width="16.7109375" style="124" customWidth="1"/>
    <col min="6" max="6" width="11.57421875" style="124" bestFit="1" customWidth="1"/>
    <col min="7" max="8" width="10.421875" style="124" bestFit="1" customWidth="1"/>
    <col min="9" max="16384" width="9.140625" style="124" customWidth="1"/>
  </cols>
  <sheetData>
    <row r="1" spans="1:5" s="77" customFormat="1" ht="15.75">
      <c r="A1" s="441" t="s">
        <v>319</v>
      </c>
      <c r="B1" s="441"/>
      <c r="C1" s="441"/>
      <c r="D1" s="441"/>
      <c r="E1" s="441"/>
    </row>
    <row r="2" spans="1:5" s="77" customFormat="1" ht="18" customHeight="1">
      <c r="A2" s="442" t="s">
        <v>149</v>
      </c>
      <c r="B2" s="442"/>
      <c r="C2" s="442"/>
      <c r="D2" s="442"/>
      <c r="E2" s="442"/>
    </row>
    <row r="3" spans="1:5" s="77" customFormat="1" ht="21" customHeight="1">
      <c r="A3" s="486" t="s">
        <v>517</v>
      </c>
      <c r="B3" s="486"/>
      <c r="C3" s="486"/>
      <c r="D3" s="486"/>
      <c r="E3" s="486"/>
    </row>
    <row r="4" spans="1:5" s="77" customFormat="1" ht="15">
      <c r="A4" s="484" t="s">
        <v>106</v>
      </c>
      <c r="B4" s="484"/>
      <c r="C4" s="484"/>
      <c r="D4" s="484"/>
      <c r="E4" s="484"/>
    </row>
    <row r="5" spans="1:5" s="94" customFormat="1" ht="30" customHeight="1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</row>
    <row r="6" spans="1:5" ht="19.5" customHeight="1">
      <c r="A6" s="8" t="s">
        <v>115</v>
      </c>
      <c r="B6" s="131" t="s">
        <v>82</v>
      </c>
      <c r="C6" s="137"/>
      <c r="D6" s="137"/>
      <c r="E6" s="137"/>
    </row>
    <row r="7" spans="1:6" ht="19.5" customHeight="1">
      <c r="A7" s="138"/>
      <c r="B7" s="140" t="s">
        <v>83</v>
      </c>
      <c r="C7" s="137"/>
      <c r="D7" s="137"/>
      <c r="E7" s="137"/>
      <c r="F7" s="141"/>
    </row>
    <row r="8" spans="1:5" ht="19.5" customHeight="1">
      <c r="A8" s="138"/>
      <c r="B8" s="82" t="s">
        <v>84</v>
      </c>
      <c r="C8" s="137">
        <v>576.7114</v>
      </c>
      <c r="D8" s="137">
        <f>C8</f>
        <v>576.7114</v>
      </c>
      <c r="E8" s="137">
        <f>D8</f>
        <v>576.7114</v>
      </c>
    </row>
    <row r="9" spans="1:5" ht="19.5" customHeight="1">
      <c r="A9" s="138"/>
      <c r="B9" s="82" t="s">
        <v>85</v>
      </c>
      <c r="C9" s="137">
        <v>0</v>
      </c>
      <c r="D9" s="137">
        <v>0</v>
      </c>
      <c r="E9" s="137">
        <v>0</v>
      </c>
    </row>
    <row r="10" spans="1:5" ht="19.5" customHeight="1">
      <c r="A10" s="138"/>
      <c r="B10" s="140" t="s">
        <v>86</v>
      </c>
      <c r="C10" s="137"/>
      <c r="D10" s="137"/>
      <c r="E10" s="137"/>
    </row>
    <row r="11" spans="1:5" ht="19.5" customHeight="1">
      <c r="A11" s="138"/>
      <c r="B11" s="82" t="s">
        <v>87</v>
      </c>
      <c r="C11" s="137">
        <f>'F-2'!J69+'F-2'!K69</f>
        <v>2518.5120197</v>
      </c>
      <c r="D11" s="137">
        <f>'F-2'!P69+'F-2'!Q69</f>
        <v>1748.2612079</v>
      </c>
      <c r="E11" s="137">
        <f>'F-2'!V69+'F-2'!W69</f>
        <v>1052.8489947</v>
      </c>
    </row>
    <row r="12" spans="1:6" ht="19.5" customHeight="1">
      <c r="A12" s="138"/>
      <c r="B12" s="82" t="s">
        <v>88</v>
      </c>
      <c r="C12" s="137">
        <f>'F-2'!J70+'F-2'!K70</f>
        <v>2208.868375843835</v>
      </c>
      <c r="D12" s="137">
        <f>'F-2'!P70+'F-2'!Q70</f>
        <v>3305.3727496438355</v>
      </c>
      <c r="E12" s="137">
        <f>'F-2'!V70+'F-2'!W70</f>
        <v>3118.7227488438352</v>
      </c>
      <c r="F12" s="141"/>
    </row>
    <row r="13" spans="1:5" ht="19.5" customHeight="1">
      <c r="A13" s="138"/>
      <c r="B13" s="82" t="s">
        <v>126</v>
      </c>
      <c r="C13" s="137">
        <v>0</v>
      </c>
      <c r="D13" s="137">
        <v>0</v>
      </c>
      <c r="E13" s="137">
        <f>'Cash Working'!D5</f>
        <v>1250</v>
      </c>
    </row>
    <row r="14" spans="1:5" ht="19.5" customHeight="1">
      <c r="A14" s="138"/>
      <c r="B14" s="140" t="s">
        <v>89</v>
      </c>
      <c r="C14" s="137"/>
      <c r="D14" s="137"/>
      <c r="E14" s="137"/>
    </row>
    <row r="15" spans="1:5" ht="19.5" customHeight="1">
      <c r="A15" s="138"/>
      <c r="B15" s="82" t="s">
        <v>90</v>
      </c>
      <c r="C15" s="137">
        <v>0</v>
      </c>
      <c r="D15" s="137">
        <v>0</v>
      </c>
      <c r="E15" s="137">
        <v>0</v>
      </c>
    </row>
    <row r="16" spans="1:5" ht="19.5" customHeight="1">
      <c r="A16" s="138"/>
      <c r="B16" s="82" t="s">
        <v>91</v>
      </c>
      <c r="C16" s="137">
        <v>0</v>
      </c>
      <c r="D16" s="137">
        <v>0</v>
      </c>
      <c r="E16" s="137">
        <v>0</v>
      </c>
    </row>
    <row r="17" spans="1:5" ht="19.5" customHeight="1">
      <c r="A17" s="138"/>
      <c r="B17" s="140" t="s">
        <v>216</v>
      </c>
      <c r="C17" s="146">
        <f>SUM(C8:C16)</f>
        <v>5304.091795543835</v>
      </c>
      <c r="D17" s="146">
        <f>SUM(D8:D16)</f>
        <v>5630.345357543836</v>
      </c>
      <c r="E17" s="146">
        <f>SUM(E8:E16)</f>
        <v>5998.283143543835</v>
      </c>
    </row>
    <row r="18" spans="1:5" ht="19.5" customHeight="1">
      <c r="A18" s="8" t="s">
        <v>116</v>
      </c>
      <c r="B18" s="140" t="s">
        <v>92</v>
      </c>
      <c r="C18" s="137"/>
      <c r="D18" s="137"/>
      <c r="E18" s="137"/>
    </row>
    <row r="19" spans="1:6" ht="19.5" customHeight="1">
      <c r="A19" s="138"/>
      <c r="B19" s="140" t="s">
        <v>75</v>
      </c>
      <c r="C19" s="137"/>
      <c r="D19" s="137"/>
      <c r="E19" s="137"/>
      <c r="F19" s="141"/>
    </row>
    <row r="20" spans="1:5" ht="19.5" customHeight="1">
      <c r="A20" s="138"/>
      <c r="B20" s="82" t="s">
        <v>76</v>
      </c>
      <c r="C20" s="137">
        <f>'F-13'!F13</f>
        <v>1.9858083999999998</v>
      </c>
      <c r="D20" s="137">
        <f>'F-13'!O13</f>
        <v>2.3358084</v>
      </c>
      <c r="E20" s="137">
        <f>'F-13'!X13</f>
        <v>2.8358084</v>
      </c>
    </row>
    <row r="21" spans="1:6" ht="19.5" customHeight="1">
      <c r="A21" s="138"/>
      <c r="B21" s="82" t="s">
        <v>93</v>
      </c>
      <c r="C21" s="137">
        <f>'F-13'!J13</f>
        <v>0.748297</v>
      </c>
      <c r="D21" s="137">
        <f>'F-13'!S13</f>
        <v>1.10655034</v>
      </c>
      <c r="E21" s="137">
        <f>'F-13'!AB13</f>
        <v>1.52405034</v>
      </c>
      <c r="F21" s="141"/>
    </row>
    <row r="22" spans="1:5" s="144" customFormat="1" ht="19.5" customHeight="1">
      <c r="A22" s="142"/>
      <c r="B22" s="143" t="s">
        <v>78</v>
      </c>
      <c r="C22" s="146">
        <f>C20-C21</f>
        <v>1.2375113999999998</v>
      </c>
      <c r="D22" s="146">
        <f>D20-D21</f>
        <v>1.2292580599999998</v>
      </c>
      <c r="E22" s="146">
        <f>E20-E21</f>
        <v>1.3117580599999998</v>
      </c>
    </row>
    <row r="23" spans="1:5" ht="19.5" customHeight="1">
      <c r="A23" s="138"/>
      <c r="B23" s="140" t="s">
        <v>94</v>
      </c>
      <c r="C23" s="137">
        <v>0</v>
      </c>
      <c r="D23" s="137">
        <v>0</v>
      </c>
      <c r="E23" s="137">
        <v>0</v>
      </c>
    </row>
    <row r="24" spans="1:5" s="144" customFormat="1" ht="19.5" customHeight="1">
      <c r="A24" s="142"/>
      <c r="B24" s="140" t="s">
        <v>95</v>
      </c>
      <c r="C24" s="146">
        <v>290.22373600000003</v>
      </c>
      <c r="D24" s="146">
        <f>C24</f>
        <v>290.22373600000003</v>
      </c>
      <c r="E24" s="146">
        <f>D24</f>
        <v>290.22373600000003</v>
      </c>
    </row>
    <row r="25" spans="1:5" ht="19.5" customHeight="1">
      <c r="A25" s="138"/>
      <c r="B25" s="140" t="s">
        <v>96</v>
      </c>
      <c r="C25" s="137"/>
      <c r="D25" s="137"/>
      <c r="E25" s="137"/>
    </row>
    <row r="26" spans="1:6" ht="19.5" customHeight="1">
      <c r="A26" s="138"/>
      <c r="B26" s="82" t="s">
        <v>132</v>
      </c>
      <c r="C26" s="137">
        <f>'F-6'!C21</f>
        <v>2704.7584373</v>
      </c>
      <c r="D26" s="137">
        <f>'F-6'!D21</f>
        <v>2757.4639480710935</v>
      </c>
      <c r="E26" s="137">
        <f>'F-6'!E21</f>
        <v>2808.4387399467296</v>
      </c>
      <c r="F26" s="141"/>
    </row>
    <row r="27" spans="1:7" ht="19.5" customHeight="1">
      <c r="A27" s="138"/>
      <c r="B27" s="82" t="s">
        <v>215</v>
      </c>
      <c r="C27" s="137">
        <v>486.8770498</v>
      </c>
      <c r="D27" s="137">
        <f>'Cash Working'!C17</f>
        <v>518.7326989255904</v>
      </c>
      <c r="E27" s="137">
        <f>'Cash Working'!D17</f>
        <v>567.2304297788065</v>
      </c>
      <c r="G27" s="141"/>
    </row>
    <row r="28" spans="1:8" ht="19.5" customHeight="1">
      <c r="A28" s="138"/>
      <c r="B28" s="82" t="s">
        <v>97</v>
      </c>
      <c r="C28" s="137">
        <v>2654.067715</v>
      </c>
      <c r="D28" s="137">
        <f>C28+'F-16'!D12-'F-16'!D24</f>
        <v>2369.357715</v>
      </c>
      <c r="E28" s="137">
        <f>D28+'F-16'!E12-'F-16'!E24</f>
        <v>2168.827715</v>
      </c>
      <c r="G28" s="141"/>
      <c r="H28" s="141"/>
    </row>
    <row r="29" spans="1:7" ht="19.5" customHeight="1">
      <c r="A29" s="138"/>
      <c r="B29" s="82" t="s">
        <v>34</v>
      </c>
      <c r="C29" s="137">
        <v>517.6292493999997</v>
      </c>
      <c r="D29" s="137">
        <f>C29</f>
        <v>517.6292493999997</v>
      </c>
      <c r="E29" s="137">
        <f>D29</f>
        <v>517.6292493999997</v>
      </c>
      <c r="G29" s="141"/>
    </row>
    <row r="30" spans="1:5" ht="19.5" customHeight="1">
      <c r="A30" s="138"/>
      <c r="B30" s="140" t="s">
        <v>98</v>
      </c>
      <c r="C30" s="137"/>
      <c r="D30" s="137"/>
      <c r="E30" s="137"/>
    </row>
    <row r="31" spans="1:7" ht="19.5" customHeight="1">
      <c r="A31" s="138"/>
      <c r="B31" s="82" t="s">
        <v>125</v>
      </c>
      <c r="C31" s="137">
        <v>3021.9872900000005</v>
      </c>
      <c r="D31" s="137">
        <f>'Cash Working'!C46-'F-15'!D32</f>
        <v>2465.69636269764</v>
      </c>
      <c r="E31" s="137">
        <f>'Cash Working'!D46-'F-15'!E32</f>
        <v>2569.9760448100005</v>
      </c>
      <c r="G31" s="141"/>
    </row>
    <row r="32" spans="1:5" ht="19.5" customHeight="1">
      <c r="A32" s="138"/>
      <c r="B32" s="82" t="s">
        <v>128</v>
      </c>
      <c r="C32" s="137">
        <v>10.1399387</v>
      </c>
      <c r="D32" s="137">
        <f>C32</f>
        <v>10.1399387</v>
      </c>
      <c r="E32" s="137">
        <f>D32</f>
        <v>10.1399387</v>
      </c>
    </row>
    <row r="33" spans="1:5" ht="19.5" customHeight="1">
      <c r="A33" s="138"/>
      <c r="B33" s="140" t="s">
        <v>214</v>
      </c>
      <c r="C33" s="146">
        <f>C26+C27+C28+C29+-C31-C32</f>
        <v>3331.205222799999</v>
      </c>
      <c r="D33" s="146">
        <f>D26+D27+D28+D29+-D31-D32</f>
        <v>3687.347309999044</v>
      </c>
      <c r="E33" s="146">
        <f>E26+E27+E28+E29+-E31-E32</f>
        <v>3482.010150615535</v>
      </c>
    </row>
    <row r="34" spans="1:5" ht="32.25" customHeight="1">
      <c r="A34" s="138"/>
      <c r="B34" s="127" t="s">
        <v>36</v>
      </c>
      <c r="C34" s="137">
        <v>0</v>
      </c>
      <c r="D34" s="137">
        <v>0</v>
      </c>
      <c r="E34" s="137">
        <v>0</v>
      </c>
    </row>
    <row r="35" spans="1:6" ht="19.5" customHeight="1">
      <c r="A35" s="138"/>
      <c r="B35" s="127" t="s">
        <v>99</v>
      </c>
      <c r="C35" s="137">
        <f>-'F-16'!C33</f>
        <v>1681.4241727591289</v>
      </c>
      <c r="D35" s="137">
        <f>-'F-16'!D33</f>
        <v>1651.5439009000847</v>
      </c>
      <c r="E35" s="137">
        <f>-'F-16'!E33</f>
        <v>2224.73634628359</v>
      </c>
      <c r="F35" s="141"/>
    </row>
    <row r="36" spans="1:5" ht="19.5" customHeight="1">
      <c r="A36" s="138"/>
      <c r="B36" s="140" t="s">
        <v>217</v>
      </c>
      <c r="C36" s="146">
        <f>C35+C33+C24+C22+C23+C34</f>
        <v>5304.090642959128</v>
      </c>
      <c r="D36" s="146">
        <f>D35+D33+D24+D22+D23+D34</f>
        <v>5630.344204959128</v>
      </c>
      <c r="E36" s="146">
        <f>E35+E33+E24+E22+E23+E34</f>
        <v>5998.281990959125</v>
      </c>
    </row>
    <row r="37" spans="3:4" ht="15">
      <c r="C37" s="145"/>
      <c r="D37" s="141"/>
    </row>
    <row r="38" spans="3:5" ht="15">
      <c r="C38" s="439"/>
      <c r="D38" s="145">
        <f>D36-D17</f>
        <v>-0.0011525847085067653</v>
      </c>
      <c r="E38" s="145">
        <f>E36-E17</f>
        <v>-0.00115258470941626</v>
      </c>
    </row>
    <row r="39" ht="15">
      <c r="D39" s="145"/>
    </row>
    <row r="40" ht="15">
      <c r="E40" s="145"/>
    </row>
    <row r="42" ht="15">
      <c r="C42" s="145"/>
    </row>
    <row r="44" ht="15">
      <c r="C44" s="145"/>
    </row>
  </sheetData>
  <sheetProtection/>
  <mergeCells count="4">
    <mergeCell ref="A1:E1"/>
    <mergeCell ref="A2:E2"/>
    <mergeCell ref="A3:E3"/>
    <mergeCell ref="A4:E4"/>
  </mergeCells>
  <printOptions horizontalCentered="1"/>
  <pageMargins left="0.55" right="0.09" top="0.58" bottom="0.56" header="0.35" footer="0.27"/>
  <pageSetup fitToHeight="1" fitToWidth="1" horizontalDpi="600" verticalDpi="600" orientation="portrait" paperSize="9" scale="88" r:id="rId3"/>
  <headerFooter alignWithMargins="0">
    <oddFooter>&amp;L&amp;8&amp;F-&amp;A&amp;CPage-&amp;P of &amp;P&amp;R&amp;D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421875" style="104" bestFit="1" customWidth="1"/>
    <col min="2" max="2" width="52.57421875" style="124" bestFit="1" customWidth="1"/>
    <col min="3" max="3" width="16.8515625" style="150" customWidth="1"/>
    <col min="4" max="5" width="16.8515625" style="124" customWidth="1"/>
    <col min="6" max="6" width="12.00390625" style="124" bestFit="1" customWidth="1"/>
    <col min="7" max="8" width="12.8515625" style="124" bestFit="1" customWidth="1"/>
    <col min="9" max="9" width="9.421875" style="124" bestFit="1" customWidth="1"/>
    <col min="10" max="10" width="12.8515625" style="124" bestFit="1" customWidth="1"/>
    <col min="11" max="11" width="9.140625" style="124" customWidth="1"/>
    <col min="12" max="12" width="9.28125" style="124" bestFit="1" customWidth="1"/>
    <col min="13" max="16384" width="9.140625" style="124" customWidth="1"/>
  </cols>
  <sheetData>
    <row r="1" spans="1:5" s="77" customFormat="1" ht="15">
      <c r="A1" s="449" t="s">
        <v>320</v>
      </c>
      <c r="B1" s="449"/>
      <c r="C1" s="449"/>
      <c r="D1" s="449"/>
      <c r="E1" s="449"/>
    </row>
    <row r="2" spans="1:5" s="77" customFormat="1" ht="15.75">
      <c r="A2" s="442" t="s">
        <v>149</v>
      </c>
      <c r="B2" s="442"/>
      <c r="C2" s="442"/>
      <c r="D2" s="442"/>
      <c r="E2" s="442"/>
    </row>
    <row r="3" spans="1:5" s="77" customFormat="1" ht="15.75">
      <c r="A3" s="440" t="s">
        <v>321</v>
      </c>
      <c r="B3" s="440"/>
      <c r="C3" s="440"/>
      <c r="D3" s="440"/>
      <c r="E3" s="440"/>
    </row>
    <row r="4" spans="1:5" s="77" customFormat="1" ht="15">
      <c r="A4" s="484" t="s">
        <v>106</v>
      </c>
      <c r="B4" s="484"/>
      <c r="C4" s="484"/>
      <c r="D4" s="484"/>
      <c r="E4" s="484"/>
    </row>
    <row r="5" spans="1:5" s="94" customFormat="1" ht="25.5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</row>
    <row r="6" spans="1:5" ht="15" customHeight="1">
      <c r="A6" s="106" t="s">
        <v>115</v>
      </c>
      <c r="B6" s="142" t="s">
        <v>100</v>
      </c>
      <c r="C6" s="146"/>
      <c r="D6" s="146"/>
      <c r="E6" s="146"/>
    </row>
    <row r="7" spans="1:5" ht="15" customHeight="1">
      <c r="A7" s="100"/>
      <c r="B7" s="147" t="s">
        <v>218</v>
      </c>
      <c r="C7" s="137">
        <f>SUM('Pool Cost'!D109:D112)</f>
        <v>5580.4004481</v>
      </c>
      <c r="D7" s="137">
        <f>SUM('Pool Cost'!M109:M112)</f>
        <v>6456.419281053119</v>
      </c>
      <c r="E7" s="137">
        <f>SUM('Pool Cost'!P109:P112)</f>
        <v>6882.81420174258</v>
      </c>
    </row>
    <row r="8" spans="1:5" ht="15" customHeight="1">
      <c r="A8" s="100"/>
      <c r="B8" s="147" t="s">
        <v>220</v>
      </c>
      <c r="C8" s="137">
        <f>'Pool Cost'!D120</f>
        <v>664.5978841</v>
      </c>
      <c r="D8" s="137">
        <f>'Pool Cost'!M120</f>
        <v>375.46200000000005</v>
      </c>
      <c r="E8" s="137">
        <f>'Pool Cost'!P120</f>
        <v>847.6565818181815</v>
      </c>
    </row>
    <row r="9" spans="1:5" ht="15" customHeight="1">
      <c r="A9" s="100"/>
      <c r="B9" s="147" t="s">
        <v>221</v>
      </c>
      <c r="C9" s="137">
        <f>'Pool Cost'!D121</f>
        <v>246.1037285</v>
      </c>
      <c r="D9" s="137">
        <f>'Pool Cost'!M121</f>
        <v>292.922</v>
      </c>
      <c r="E9" s="137">
        <f>'Pool Cost'!P121</f>
        <v>0</v>
      </c>
    </row>
    <row r="10" spans="1:5" ht="15" customHeight="1">
      <c r="A10" s="100"/>
      <c r="B10" s="147" t="s">
        <v>219</v>
      </c>
      <c r="C10" s="137">
        <f>'Pool Cost'!D118</f>
        <v>1.9050911</v>
      </c>
      <c r="D10" s="137">
        <f>'Pool Cost'!M118</f>
        <v>0.67</v>
      </c>
      <c r="E10" s="137">
        <f>'Pool Cost'!P118</f>
        <v>6.7</v>
      </c>
    </row>
    <row r="11" spans="1:6" ht="15" customHeight="1">
      <c r="A11" s="100"/>
      <c r="B11" s="147" t="s">
        <v>258</v>
      </c>
      <c r="C11" s="137">
        <v>79.5536836</v>
      </c>
      <c r="D11" s="137">
        <v>0</v>
      </c>
      <c r="E11" s="137">
        <v>0</v>
      </c>
      <c r="F11" s="141"/>
    </row>
    <row r="12" spans="1:6" ht="15" customHeight="1">
      <c r="A12" s="100"/>
      <c r="B12" s="147" t="s">
        <v>26</v>
      </c>
      <c r="C12" s="137">
        <f>'Pool Cost'!D113</f>
        <v>-328.71</v>
      </c>
      <c r="D12" s="137">
        <f>'Pool Cost'!M113</f>
        <v>-284.71</v>
      </c>
      <c r="E12" s="137">
        <f>'Pool Cost'!P113</f>
        <v>-200.53</v>
      </c>
      <c r="F12" s="141"/>
    </row>
    <row r="13" spans="1:6" s="144" customFormat="1" ht="15" customHeight="1">
      <c r="A13" s="100"/>
      <c r="B13" s="148" t="s">
        <v>259</v>
      </c>
      <c r="C13" s="146">
        <f>SUM(C7:C12)</f>
        <v>6243.8508354000005</v>
      </c>
      <c r="D13" s="146">
        <f>SUM(D7:D12)</f>
        <v>6840.76328105312</v>
      </c>
      <c r="E13" s="146">
        <f>SUM(E7:E12)</f>
        <v>7536.6407835607615</v>
      </c>
      <c r="F13" s="149"/>
    </row>
    <row r="14" spans="1:7" ht="15" customHeight="1">
      <c r="A14" s="106" t="s">
        <v>116</v>
      </c>
      <c r="B14" s="142" t="s">
        <v>101</v>
      </c>
      <c r="C14" s="137"/>
      <c r="D14" s="137"/>
      <c r="E14" s="137"/>
      <c r="G14" s="144"/>
    </row>
    <row r="15" spans="1:7" ht="15" customHeight="1">
      <c r="A15" s="101"/>
      <c r="B15" s="147" t="s">
        <v>170</v>
      </c>
      <c r="C15" s="137">
        <f>'Pool Cost'!D106</f>
        <v>5427.1396098</v>
      </c>
      <c r="D15" s="137">
        <f>'Pool Cost'!M106</f>
        <v>6353.163814651679</v>
      </c>
      <c r="E15" s="137">
        <f>'Pool Cost'!P106</f>
        <v>7604.5199999999995</v>
      </c>
      <c r="F15" s="141"/>
      <c r="G15" s="144"/>
    </row>
    <row r="16" spans="1:9" ht="15" customHeight="1">
      <c r="A16" s="101"/>
      <c r="B16" s="147" t="s">
        <v>117</v>
      </c>
      <c r="C16" s="137">
        <f>'F-9'!C39</f>
        <v>4.269265068128</v>
      </c>
      <c r="D16" s="137">
        <f>'F-9'!D39</f>
        <v>5.327070020896393</v>
      </c>
      <c r="E16" s="137">
        <f>'F-9'!E39</f>
        <v>5.9686869873963815</v>
      </c>
      <c r="F16" s="141"/>
      <c r="G16" s="144"/>
      <c r="I16" s="141"/>
    </row>
    <row r="17" spans="1:7" ht="15" customHeight="1">
      <c r="A17" s="101"/>
      <c r="B17" s="147" t="s">
        <v>124</v>
      </c>
      <c r="C17" s="137">
        <f>'F-10'!C11</f>
        <v>0.2346631</v>
      </c>
      <c r="D17" s="137">
        <f>'F-10'!D11</f>
        <v>0.30000000000000004</v>
      </c>
      <c r="E17" s="137">
        <f>'F-10'!E11</f>
        <v>0.30000000000000004</v>
      </c>
      <c r="F17" s="141"/>
      <c r="G17" s="144"/>
    </row>
    <row r="18" spans="1:8" ht="15" customHeight="1">
      <c r="A18" s="101"/>
      <c r="B18" s="147" t="s">
        <v>118</v>
      </c>
      <c r="C18" s="137">
        <f>'F-11'!C44</f>
        <v>4.3423193</v>
      </c>
      <c r="D18" s="137">
        <f>'F-11'!D44</f>
        <v>4.966167195</v>
      </c>
      <c r="E18" s="137">
        <f>'F-11'!E44</f>
        <v>5.499592274249999</v>
      </c>
      <c r="F18" s="141"/>
      <c r="G18" s="144"/>
      <c r="H18" s="141"/>
    </row>
    <row r="19" spans="1:7" ht="15" customHeight="1">
      <c r="A19" s="101"/>
      <c r="B19" s="147" t="s">
        <v>18</v>
      </c>
      <c r="C19" s="137">
        <f>'F-2'!H65-C21</f>
        <v>483.75691779999994</v>
      </c>
      <c r="D19" s="137">
        <f>'F-2'!N65</f>
        <v>446.76770398649995</v>
      </c>
      <c r="E19" s="137">
        <f>'F-2'!T65</f>
        <v>493.1274496826206</v>
      </c>
      <c r="G19" s="144"/>
    </row>
    <row r="20" spans="1:8" ht="15" customHeight="1">
      <c r="A20" s="101"/>
      <c r="B20" s="147" t="s">
        <v>77</v>
      </c>
      <c r="C20" s="137">
        <f>'F-13'!H13</f>
        <v>0.22714030000000004</v>
      </c>
      <c r="D20" s="137">
        <f>'F-13'!Q13</f>
        <v>0.3582533400000001</v>
      </c>
      <c r="E20" s="137">
        <f>'F-13'!Z13</f>
        <v>0.41750000000000004</v>
      </c>
      <c r="G20" s="144"/>
      <c r="H20" s="141"/>
    </row>
    <row r="21" spans="1:8" ht="15" customHeight="1">
      <c r="A21" s="101"/>
      <c r="B21" s="147" t="s">
        <v>171</v>
      </c>
      <c r="C21" s="137">
        <f>'F-2'!H63</f>
        <v>46.2916015</v>
      </c>
      <c r="D21" s="137">
        <f>'F-2'!N63</f>
        <v>0</v>
      </c>
      <c r="E21" s="137">
        <f>'F-2'!T63</f>
        <v>0</v>
      </c>
      <c r="G21" s="144"/>
      <c r="H21" s="141"/>
    </row>
    <row r="22" spans="1:8" ht="15" customHeight="1">
      <c r="A22" s="101"/>
      <c r="B22" s="148" t="s">
        <v>225</v>
      </c>
      <c r="C22" s="146">
        <f>SUM(C15:C21)</f>
        <v>5966.261516868129</v>
      </c>
      <c r="D22" s="146">
        <f>SUM(D15:D21)</f>
        <v>6810.883009194076</v>
      </c>
      <c r="E22" s="146">
        <f>SUM(E15:E21)</f>
        <v>8109.833228944267</v>
      </c>
      <c r="G22" s="144"/>
      <c r="H22" s="141"/>
    </row>
    <row r="23" spans="1:8" s="144" customFormat="1" ht="15" customHeight="1">
      <c r="A23" s="106" t="s">
        <v>28</v>
      </c>
      <c r="B23" s="142" t="s">
        <v>260</v>
      </c>
      <c r="C23" s="146">
        <f>C13-C22</f>
        <v>277.58931853187187</v>
      </c>
      <c r="D23" s="146">
        <f>D13-D22</f>
        <v>29.880271859044115</v>
      </c>
      <c r="E23" s="146">
        <f>E13-E22</f>
        <v>-573.1924453835054</v>
      </c>
      <c r="H23" s="149"/>
    </row>
    <row r="24" spans="1:8" s="144" customFormat="1" ht="15" customHeight="1">
      <c r="A24" s="106" t="s">
        <v>27</v>
      </c>
      <c r="B24" s="123" t="s">
        <v>73</v>
      </c>
      <c r="C24" s="137">
        <f>29.9961898+210.0005826+0.02+0.006585-21.6697224</f>
        <v>218.353635</v>
      </c>
      <c r="D24" s="137">
        <v>0</v>
      </c>
      <c r="E24" s="137">
        <v>0</v>
      </c>
      <c r="H24" s="149"/>
    </row>
    <row r="25" spans="1:7" ht="15" customHeight="1">
      <c r="A25" s="106" t="s">
        <v>29</v>
      </c>
      <c r="B25" s="142" t="s">
        <v>261</v>
      </c>
      <c r="C25" s="137">
        <f>C23-C24</f>
        <v>59.23568353187187</v>
      </c>
      <c r="D25" s="137">
        <f>D23-D24</f>
        <v>29.880271859044115</v>
      </c>
      <c r="E25" s="137">
        <f>E23-E24</f>
        <v>-573.1924453835054</v>
      </c>
      <c r="F25" s="141"/>
      <c r="G25" s="144"/>
    </row>
    <row r="26" spans="1:7" ht="15" customHeight="1">
      <c r="A26" s="106" t="s">
        <v>30</v>
      </c>
      <c r="B26" s="142" t="s">
        <v>262</v>
      </c>
      <c r="C26" s="137"/>
      <c r="D26" s="137"/>
      <c r="E26" s="137"/>
      <c r="F26" s="141"/>
      <c r="G26" s="144"/>
    </row>
    <row r="27" spans="1:7" ht="15" customHeight="1">
      <c r="A27" s="106"/>
      <c r="B27" s="147" t="s">
        <v>102</v>
      </c>
      <c r="C27" s="137">
        <v>0</v>
      </c>
      <c r="D27" s="137">
        <v>0</v>
      </c>
      <c r="E27" s="137"/>
      <c r="G27" s="144"/>
    </row>
    <row r="28" spans="1:5" ht="15" customHeight="1">
      <c r="A28" s="106"/>
      <c r="B28" s="147" t="s">
        <v>103</v>
      </c>
      <c r="C28" s="137">
        <v>0</v>
      </c>
      <c r="D28" s="137">
        <v>0</v>
      </c>
      <c r="E28" s="137"/>
    </row>
    <row r="29" spans="1:5" ht="15" customHeight="1">
      <c r="A29" s="106"/>
      <c r="B29" s="147" t="s">
        <v>104</v>
      </c>
      <c r="C29" s="137">
        <v>0</v>
      </c>
      <c r="D29" s="137">
        <v>0</v>
      </c>
      <c r="E29" s="137"/>
    </row>
    <row r="30" spans="1:5" ht="15" customHeight="1">
      <c r="A30" s="106"/>
      <c r="B30" s="148" t="s">
        <v>263</v>
      </c>
      <c r="C30" s="146">
        <f>SUM(C27:C29)</f>
        <v>0</v>
      </c>
      <c r="D30" s="146">
        <f>SUM(D27:D29)</f>
        <v>0</v>
      </c>
      <c r="E30" s="146">
        <f>SUM(E27:E29)</f>
        <v>0</v>
      </c>
    </row>
    <row r="31" spans="1:9" ht="15" customHeight="1">
      <c r="A31" s="106" t="s">
        <v>131</v>
      </c>
      <c r="B31" s="147" t="s">
        <v>264</v>
      </c>
      <c r="C31" s="137">
        <f>C25-C30</f>
        <v>59.23568353187187</v>
      </c>
      <c r="D31" s="137">
        <f>D25-D30</f>
        <v>29.880271859044115</v>
      </c>
      <c r="E31" s="137">
        <f>E25-E30</f>
        <v>-573.1924453835054</v>
      </c>
      <c r="H31" s="141"/>
      <c r="I31" s="141"/>
    </row>
    <row r="32" spans="1:8" ht="15" customHeight="1">
      <c r="A32" s="106" t="s">
        <v>129</v>
      </c>
      <c r="B32" s="147" t="s">
        <v>222</v>
      </c>
      <c r="C32" s="137">
        <v>-1740.6598562910008</v>
      </c>
      <c r="D32" s="137">
        <f>C33</f>
        <v>-1681.4241727591289</v>
      </c>
      <c r="E32" s="137">
        <f>D33</f>
        <v>-1651.5439009000847</v>
      </c>
      <c r="H32" s="141"/>
    </row>
    <row r="33" spans="1:5" s="144" customFormat="1" ht="15" customHeight="1">
      <c r="A33" s="106" t="s">
        <v>265</v>
      </c>
      <c r="B33" s="148" t="s">
        <v>266</v>
      </c>
      <c r="C33" s="146">
        <f>C31+C32</f>
        <v>-1681.4241727591289</v>
      </c>
      <c r="D33" s="146">
        <f>D31+D32</f>
        <v>-1651.5439009000847</v>
      </c>
      <c r="E33" s="146">
        <f>E31+E32</f>
        <v>-2224.73634628359</v>
      </c>
    </row>
  </sheetData>
  <sheetProtection/>
  <mergeCells count="4">
    <mergeCell ref="A1:E1"/>
    <mergeCell ref="A2:E2"/>
    <mergeCell ref="A3:E3"/>
    <mergeCell ref="A4:E4"/>
  </mergeCells>
  <printOptions/>
  <pageMargins left="1.1811023622047245" right="0.5905511811023623" top="0.31496062992125984" bottom="0.35433070866141736" header="0.15748031496062992" footer="0.15748031496062992"/>
  <pageSetup fitToHeight="1" fitToWidth="1" horizontalDpi="300" verticalDpi="300" orientation="landscape" paperSize="9" r:id="rId1"/>
  <headerFooter alignWithMargins="0">
    <oddFooter>&amp;L&amp;F-&amp;A&amp;CPage-&amp;P of 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2" sqref="G22"/>
    </sheetView>
  </sheetViews>
  <sheetFormatPr defaultColWidth="9.140625" defaultRowHeight="12.75"/>
  <cols>
    <col min="1" max="1" width="10.00390625" style="151" bestFit="1" customWidth="1"/>
    <col min="2" max="2" width="10.00390625" style="151" customWidth="1"/>
    <col min="3" max="4" width="7.421875" style="151" customWidth="1"/>
    <col min="5" max="5" width="10.8515625" style="151" bestFit="1" customWidth="1"/>
    <col min="6" max="6" width="7.7109375" style="151" customWidth="1"/>
    <col min="7" max="8" width="6.7109375" style="151" customWidth="1"/>
    <col min="9" max="10" width="7.7109375" style="151" customWidth="1"/>
    <col min="11" max="12" width="6.7109375" style="151" customWidth="1"/>
    <col min="13" max="14" width="7.7109375" style="151" customWidth="1"/>
    <col min="15" max="16" width="7.140625" style="151" customWidth="1"/>
    <col min="17" max="17" width="8.421875" style="151" customWidth="1"/>
    <col min="18" max="18" width="9.28125" style="151" customWidth="1"/>
    <col min="19" max="20" width="7.8515625" style="151" customWidth="1"/>
    <col min="21" max="21" width="9.28125" style="151" customWidth="1"/>
    <col min="22" max="16384" width="9.140625" style="151" customWidth="1"/>
  </cols>
  <sheetData>
    <row r="1" spans="1:21" ht="15">
      <c r="A1" s="491" t="s">
        <v>322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</row>
    <row r="2" spans="1:21" ht="15">
      <c r="A2" s="492" t="s">
        <v>323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1:24" ht="15">
      <c r="A3" s="493" t="s">
        <v>324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69"/>
      <c r="W3" s="69"/>
      <c r="X3" s="69"/>
    </row>
    <row r="4" spans="1:21" ht="14.25">
      <c r="A4" s="494" t="s">
        <v>325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</row>
    <row r="5" spans="1:21" s="152" customFormat="1" ht="15.75" customHeight="1">
      <c r="A5" s="70" t="s">
        <v>326</v>
      </c>
      <c r="B5" s="495" t="s">
        <v>120</v>
      </c>
      <c r="C5" s="496"/>
      <c r="D5" s="496"/>
      <c r="E5" s="497"/>
      <c r="F5" s="495" t="s">
        <v>121</v>
      </c>
      <c r="G5" s="496"/>
      <c r="H5" s="496"/>
      <c r="I5" s="497"/>
      <c r="J5" s="495" t="s">
        <v>122</v>
      </c>
      <c r="K5" s="496"/>
      <c r="L5" s="496"/>
      <c r="M5" s="497"/>
      <c r="N5" s="495" t="s">
        <v>327</v>
      </c>
      <c r="O5" s="496"/>
      <c r="P5" s="496"/>
      <c r="Q5" s="497"/>
      <c r="R5" s="495" t="s">
        <v>328</v>
      </c>
      <c r="S5" s="496"/>
      <c r="T5" s="496"/>
      <c r="U5" s="497"/>
    </row>
    <row r="6" spans="1:21" s="73" customFormat="1" ht="25.5">
      <c r="A6" s="71"/>
      <c r="B6" s="72" t="s">
        <v>329</v>
      </c>
      <c r="C6" s="72" t="s">
        <v>330</v>
      </c>
      <c r="D6" s="72" t="s">
        <v>63</v>
      </c>
      <c r="E6" s="72" t="s">
        <v>40</v>
      </c>
      <c r="F6" s="72" t="s">
        <v>329</v>
      </c>
      <c r="G6" s="72" t="s">
        <v>330</v>
      </c>
      <c r="H6" s="72" t="s">
        <v>63</v>
      </c>
      <c r="I6" s="72" t="s">
        <v>40</v>
      </c>
      <c r="J6" s="72" t="s">
        <v>329</v>
      </c>
      <c r="K6" s="72" t="s">
        <v>330</v>
      </c>
      <c r="L6" s="72" t="s">
        <v>63</v>
      </c>
      <c r="M6" s="72" t="s">
        <v>40</v>
      </c>
      <c r="N6" s="72" t="s">
        <v>329</v>
      </c>
      <c r="O6" s="72" t="s">
        <v>330</v>
      </c>
      <c r="P6" s="72" t="s">
        <v>63</v>
      </c>
      <c r="Q6" s="72" t="s">
        <v>40</v>
      </c>
      <c r="R6" s="72" t="s">
        <v>329</v>
      </c>
      <c r="S6" s="72" t="s">
        <v>330</v>
      </c>
      <c r="T6" s="72" t="s">
        <v>63</v>
      </c>
      <c r="U6" s="72" t="s">
        <v>40</v>
      </c>
    </row>
    <row r="7" spans="1:21" s="73" customFormat="1" ht="15.75">
      <c r="A7" s="487" t="s">
        <v>579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9"/>
    </row>
    <row r="8" spans="1:21" ht="17.25" customHeight="1">
      <c r="A8" s="153" t="s">
        <v>134</v>
      </c>
      <c r="B8" s="304">
        <v>0</v>
      </c>
      <c r="C8" s="304">
        <v>0</v>
      </c>
      <c r="D8" s="304">
        <v>1.25</v>
      </c>
      <c r="E8" s="306">
        <f>SUM(B8:D8)</f>
        <v>1.25</v>
      </c>
      <c r="F8" s="304">
        <v>0</v>
      </c>
      <c r="G8" s="304">
        <v>0</v>
      </c>
      <c r="H8" s="304">
        <v>1.25</v>
      </c>
      <c r="I8" s="306">
        <f>F8+G8+H8</f>
        <v>1.25</v>
      </c>
      <c r="J8" s="304">
        <v>0</v>
      </c>
      <c r="K8" s="304">
        <v>0</v>
      </c>
      <c r="L8" s="304">
        <v>1.25</v>
      </c>
      <c r="M8" s="306">
        <f>J8+K8+L8</f>
        <v>1.25</v>
      </c>
      <c r="N8" s="305">
        <v>0</v>
      </c>
      <c r="O8" s="305">
        <v>0</v>
      </c>
      <c r="P8" s="305">
        <v>5.25</v>
      </c>
      <c r="Q8" s="306">
        <f>N8+O8+P8</f>
        <v>5.25</v>
      </c>
      <c r="R8" s="154">
        <f>B8+F8+J8+N8</f>
        <v>0</v>
      </c>
      <c r="S8" s="154">
        <f>C8+G8+K8+O8</f>
        <v>0</v>
      </c>
      <c r="T8" s="154">
        <f>D8+H8+L8+P8</f>
        <v>9</v>
      </c>
      <c r="U8" s="306">
        <f>R8+S8+T8</f>
        <v>9</v>
      </c>
    </row>
    <row r="9" spans="1:21" ht="17.25" customHeight="1">
      <c r="A9" s="153" t="s">
        <v>135</v>
      </c>
      <c r="B9" s="304">
        <v>0</v>
      </c>
      <c r="C9" s="304">
        <v>0</v>
      </c>
      <c r="D9" s="304">
        <v>0</v>
      </c>
      <c r="E9" s="306">
        <f aca="true" t="shared" si="0" ref="E9:E19">SUM(B9:D9)</f>
        <v>0</v>
      </c>
      <c r="F9" s="304">
        <v>0</v>
      </c>
      <c r="G9" s="304">
        <v>0</v>
      </c>
      <c r="H9" s="304">
        <v>0</v>
      </c>
      <c r="I9" s="306">
        <f aca="true" t="shared" si="1" ref="I9:I19">F9+G9+H9</f>
        <v>0</v>
      </c>
      <c r="J9" s="304">
        <v>0</v>
      </c>
      <c r="K9" s="304">
        <v>0</v>
      </c>
      <c r="L9" s="304">
        <v>0</v>
      </c>
      <c r="M9" s="306">
        <f aca="true" t="shared" si="2" ref="M9:M19">J9+K9+L9</f>
        <v>0</v>
      </c>
      <c r="N9" s="305">
        <v>0</v>
      </c>
      <c r="O9" s="305">
        <v>0</v>
      </c>
      <c r="P9" s="305">
        <v>0</v>
      </c>
      <c r="Q9" s="306">
        <f aca="true" t="shared" si="3" ref="Q9:Q19">N9+O9+P9</f>
        <v>0</v>
      </c>
      <c r="R9" s="154">
        <f aca="true" t="shared" si="4" ref="R9:R19">B9+F9+J9+N9</f>
        <v>0</v>
      </c>
      <c r="S9" s="154">
        <f aca="true" t="shared" si="5" ref="S9:S19">C9+G9+K9+O9</f>
        <v>0</v>
      </c>
      <c r="T9" s="154">
        <f aca="true" t="shared" si="6" ref="T9:T19">D9+H9+L9+P9</f>
        <v>0</v>
      </c>
      <c r="U9" s="306">
        <f aca="true" t="shared" si="7" ref="U9:U19">R9+S9+T9</f>
        <v>0</v>
      </c>
    </row>
    <row r="10" spans="1:21" ht="17.25" customHeight="1">
      <c r="A10" s="153" t="s">
        <v>136</v>
      </c>
      <c r="B10" s="304">
        <v>0</v>
      </c>
      <c r="C10" s="304">
        <v>0</v>
      </c>
      <c r="D10" s="304">
        <v>0</v>
      </c>
      <c r="E10" s="306">
        <f t="shared" si="0"/>
        <v>0</v>
      </c>
      <c r="F10" s="304">
        <v>0</v>
      </c>
      <c r="G10" s="304">
        <v>0</v>
      </c>
      <c r="H10" s="304">
        <v>0</v>
      </c>
      <c r="I10" s="306">
        <f t="shared" si="1"/>
        <v>0</v>
      </c>
      <c r="J10" s="304">
        <v>0</v>
      </c>
      <c r="K10" s="304">
        <v>0</v>
      </c>
      <c r="L10" s="304">
        <v>0</v>
      </c>
      <c r="M10" s="306">
        <f t="shared" si="2"/>
        <v>0</v>
      </c>
      <c r="N10" s="305">
        <v>0</v>
      </c>
      <c r="O10" s="305">
        <v>0</v>
      </c>
      <c r="P10" s="305">
        <v>0</v>
      </c>
      <c r="Q10" s="306">
        <f t="shared" si="3"/>
        <v>0</v>
      </c>
      <c r="R10" s="154">
        <f t="shared" si="4"/>
        <v>0</v>
      </c>
      <c r="S10" s="154">
        <f t="shared" si="5"/>
        <v>0</v>
      </c>
      <c r="T10" s="154">
        <f t="shared" si="6"/>
        <v>0</v>
      </c>
      <c r="U10" s="306">
        <f t="shared" si="7"/>
        <v>0</v>
      </c>
    </row>
    <row r="11" spans="1:21" ht="17.25" customHeight="1">
      <c r="A11" s="153" t="s">
        <v>137</v>
      </c>
      <c r="B11" s="304">
        <v>0</v>
      </c>
      <c r="C11" s="304">
        <v>0</v>
      </c>
      <c r="D11" s="304">
        <v>0.58</v>
      </c>
      <c r="E11" s="306">
        <f t="shared" si="0"/>
        <v>0.58</v>
      </c>
      <c r="F11" s="304">
        <v>0</v>
      </c>
      <c r="G11" s="304">
        <v>0</v>
      </c>
      <c r="H11" s="304">
        <v>0.46</v>
      </c>
      <c r="I11" s="306">
        <f t="shared" si="1"/>
        <v>0.46</v>
      </c>
      <c r="J11" s="304">
        <v>0</v>
      </c>
      <c r="K11" s="304">
        <v>0</v>
      </c>
      <c r="L11" s="304">
        <v>0.28</v>
      </c>
      <c r="M11" s="306">
        <f t="shared" si="2"/>
        <v>0.28</v>
      </c>
      <c r="N11" s="305">
        <v>0</v>
      </c>
      <c r="O11" s="305">
        <v>0</v>
      </c>
      <c r="P11" s="305">
        <v>0.3</v>
      </c>
      <c r="Q11" s="306">
        <f t="shared" si="3"/>
        <v>0.3</v>
      </c>
      <c r="R11" s="154">
        <f t="shared" si="4"/>
        <v>0</v>
      </c>
      <c r="S11" s="154">
        <f t="shared" si="5"/>
        <v>0</v>
      </c>
      <c r="T11" s="154">
        <f t="shared" si="6"/>
        <v>1.62</v>
      </c>
      <c r="U11" s="306">
        <f t="shared" si="7"/>
        <v>1.62</v>
      </c>
    </row>
    <row r="12" spans="1:21" ht="17.25" customHeight="1">
      <c r="A12" s="153" t="s">
        <v>331</v>
      </c>
      <c r="B12" s="304">
        <v>0</v>
      </c>
      <c r="C12" s="304">
        <v>0</v>
      </c>
      <c r="D12" s="304">
        <v>0</v>
      </c>
      <c r="E12" s="306">
        <f t="shared" si="0"/>
        <v>0</v>
      </c>
      <c r="F12" s="304">
        <v>0</v>
      </c>
      <c r="G12" s="304">
        <v>0</v>
      </c>
      <c r="H12" s="304">
        <v>0</v>
      </c>
      <c r="I12" s="306">
        <f t="shared" si="1"/>
        <v>0</v>
      </c>
      <c r="J12" s="304">
        <v>0</v>
      </c>
      <c r="K12" s="304">
        <v>0</v>
      </c>
      <c r="L12" s="304">
        <v>0</v>
      </c>
      <c r="M12" s="306">
        <f t="shared" si="2"/>
        <v>0</v>
      </c>
      <c r="N12" s="305">
        <v>0</v>
      </c>
      <c r="O12" s="305">
        <v>0</v>
      </c>
      <c r="P12" s="305">
        <v>0</v>
      </c>
      <c r="Q12" s="306">
        <f t="shared" si="3"/>
        <v>0</v>
      </c>
      <c r="R12" s="154">
        <f t="shared" si="4"/>
        <v>0</v>
      </c>
      <c r="S12" s="154">
        <f t="shared" si="5"/>
        <v>0</v>
      </c>
      <c r="T12" s="154">
        <f t="shared" si="6"/>
        <v>0</v>
      </c>
      <c r="U12" s="306">
        <f t="shared" si="7"/>
        <v>0</v>
      </c>
    </row>
    <row r="13" spans="1:21" ht="17.25" customHeight="1">
      <c r="A13" s="153" t="s">
        <v>332</v>
      </c>
      <c r="B13" s="304">
        <v>0</v>
      </c>
      <c r="C13" s="304">
        <v>0</v>
      </c>
      <c r="D13" s="304">
        <v>0.43</v>
      </c>
      <c r="E13" s="306">
        <f t="shared" si="0"/>
        <v>0.43</v>
      </c>
      <c r="F13" s="304">
        <v>0</v>
      </c>
      <c r="G13" s="304">
        <v>0</v>
      </c>
      <c r="H13" s="304">
        <v>0.34</v>
      </c>
      <c r="I13" s="306">
        <f t="shared" si="1"/>
        <v>0.34</v>
      </c>
      <c r="J13" s="304">
        <v>0</v>
      </c>
      <c r="K13" s="304">
        <v>0</v>
      </c>
      <c r="L13" s="304">
        <v>0.21</v>
      </c>
      <c r="M13" s="306">
        <f t="shared" si="2"/>
        <v>0.21</v>
      </c>
      <c r="N13" s="305">
        <v>0</v>
      </c>
      <c r="O13" s="305">
        <v>0</v>
      </c>
      <c r="P13" s="305">
        <v>0.22</v>
      </c>
      <c r="Q13" s="306">
        <f t="shared" si="3"/>
        <v>0.22</v>
      </c>
      <c r="R13" s="154">
        <f t="shared" si="4"/>
        <v>0</v>
      </c>
      <c r="S13" s="154">
        <f t="shared" si="5"/>
        <v>0</v>
      </c>
      <c r="T13" s="154">
        <f t="shared" si="6"/>
        <v>1.2</v>
      </c>
      <c r="U13" s="306">
        <f t="shared" si="7"/>
        <v>1.2</v>
      </c>
    </row>
    <row r="14" spans="1:21" ht="17.25" customHeight="1">
      <c r="A14" s="153" t="s">
        <v>333</v>
      </c>
      <c r="B14" s="304">
        <v>20.63</v>
      </c>
      <c r="C14" s="304">
        <v>4.28</v>
      </c>
      <c r="D14" s="304">
        <v>1</v>
      </c>
      <c r="E14" s="306">
        <f t="shared" si="0"/>
        <v>25.91</v>
      </c>
      <c r="F14" s="304">
        <v>18.09</v>
      </c>
      <c r="G14" s="304">
        <v>4.73</v>
      </c>
      <c r="H14" s="304">
        <v>2</v>
      </c>
      <c r="I14" s="306">
        <f t="shared" si="1"/>
        <v>24.82</v>
      </c>
      <c r="J14" s="304">
        <v>15.72</v>
      </c>
      <c r="K14" s="304">
        <v>3.63</v>
      </c>
      <c r="L14" s="304">
        <v>2.5</v>
      </c>
      <c r="M14" s="306">
        <f t="shared" si="2"/>
        <v>21.85</v>
      </c>
      <c r="N14" s="305">
        <v>32.34</v>
      </c>
      <c r="O14" s="305">
        <v>6.82</v>
      </c>
      <c r="P14" s="305">
        <v>0</v>
      </c>
      <c r="Q14" s="306">
        <f t="shared" si="3"/>
        <v>39.160000000000004</v>
      </c>
      <c r="R14" s="154">
        <f t="shared" si="4"/>
        <v>86.78</v>
      </c>
      <c r="S14" s="154">
        <f t="shared" si="5"/>
        <v>19.46</v>
      </c>
      <c r="T14" s="154">
        <f t="shared" si="6"/>
        <v>5.5</v>
      </c>
      <c r="U14" s="306">
        <f t="shared" si="7"/>
        <v>111.74000000000001</v>
      </c>
    </row>
    <row r="15" spans="1:21" ht="17.25" customHeight="1">
      <c r="A15" s="153" t="s">
        <v>334</v>
      </c>
      <c r="B15" s="304">
        <v>0</v>
      </c>
      <c r="C15" s="304">
        <v>0</v>
      </c>
      <c r="D15" s="304">
        <v>0</v>
      </c>
      <c r="E15" s="306">
        <f t="shared" si="0"/>
        <v>0</v>
      </c>
      <c r="F15" s="304">
        <v>0</v>
      </c>
      <c r="G15" s="304">
        <v>0</v>
      </c>
      <c r="H15" s="304">
        <v>0</v>
      </c>
      <c r="I15" s="306">
        <f t="shared" si="1"/>
        <v>0</v>
      </c>
      <c r="J15" s="304">
        <v>0</v>
      </c>
      <c r="K15" s="304">
        <v>0</v>
      </c>
      <c r="L15" s="304">
        <v>0</v>
      </c>
      <c r="M15" s="306">
        <f t="shared" si="2"/>
        <v>0</v>
      </c>
      <c r="N15" s="305">
        <v>0</v>
      </c>
      <c r="O15" s="305">
        <v>0</v>
      </c>
      <c r="P15" s="305">
        <v>0</v>
      </c>
      <c r="Q15" s="306">
        <f t="shared" si="3"/>
        <v>0</v>
      </c>
      <c r="R15" s="154">
        <f t="shared" si="4"/>
        <v>0</v>
      </c>
      <c r="S15" s="154">
        <f t="shared" si="5"/>
        <v>0</v>
      </c>
      <c r="T15" s="154">
        <f t="shared" si="6"/>
        <v>0</v>
      </c>
      <c r="U15" s="306">
        <f t="shared" si="7"/>
        <v>0</v>
      </c>
    </row>
    <row r="16" spans="1:21" ht="17.25" customHeight="1">
      <c r="A16" s="153" t="s">
        <v>335</v>
      </c>
      <c r="B16" s="304">
        <v>0</v>
      </c>
      <c r="C16" s="304">
        <v>0</v>
      </c>
      <c r="D16" s="304">
        <v>0</v>
      </c>
      <c r="E16" s="306">
        <f t="shared" si="0"/>
        <v>0</v>
      </c>
      <c r="F16" s="304">
        <v>0</v>
      </c>
      <c r="G16" s="304">
        <v>0</v>
      </c>
      <c r="H16" s="304">
        <v>0</v>
      </c>
      <c r="I16" s="306">
        <f t="shared" si="1"/>
        <v>0</v>
      </c>
      <c r="J16" s="304">
        <v>15.72</v>
      </c>
      <c r="K16" s="304">
        <v>0</v>
      </c>
      <c r="L16" s="304">
        <v>0</v>
      </c>
      <c r="M16" s="306">
        <f t="shared" si="2"/>
        <v>15.72</v>
      </c>
      <c r="N16" s="305">
        <v>0</v>
      </c>
      <c r="O16" s="305">
        <v>0</v>
      </c>
      <c r="P16" s="305">
        <v>0</v>
      </c>
      <c r="Q16" s="306">
        <f t="shared" si="3"/>
        <v>0</v>
      </c>
      <c r="R16" s="154">
        <f t="shared" si="4"/>
        <v>15.72</v>
      </c>
      <c r="S16" s="154">
        <f t="shared" si="5"/>
        <v>0</v>
      </c>
      <c r="T16" s="154">
        <f t="shared" si="6"/>
        <v>0</v>
      </c>
      <c r="U16" s="306">
        <f t="shared" si="7"/>
        <v>15.72</v>
      </c>
    </row>
    <row r="17" spans="1:21" ht="17.25" customHeight="1">
      <c r="A17" s="153" t="s">
        <v>336</v>
      </c>
      <c r="B17" s="304">
        <v>0</v>
      </c>
      <c r="C17" s="304">
        <v>0</v>
      </c>
      <c r="D17" s="304">
        <v>0.72</v>
      </c>
      <c r="E17" s="306">
        <f t="shared" si="0"/>
        <v>0.72</v>
      </c>
      <c r="F17" s="304">
        <v>0</v>
      </c>
      <c r="G17" s="304">
        <v>0</v>
      </c>
      <c r="H17" s="304">
        <v>0</v>
      </c>
      <c r="I17" s="306">
        <f t="shared" si="1"/>
        <v>0</v>
      </c>
      <c r="J17" s="304">
        <v>15.72</v>
      </c>
      <c r="K17" s="304">
        <v>3.63</v>
      </c>
      <c r="L17" s="304">
        <v>0</v>
      </c>
      <c r="M17" s="306">
        <f t="shared" si="2"/>
        <v>19.35</v>
      </c>
      <c r="N17" s="305">
        <v>0</v>
      </c>
      <c r="O17" s="305">
        <v>0</v>
      </c>
      <c r="P17" s="305">
        <v>0</v>
      </c>
      <c r="Q17" s="306">
        <f t="shared" si="3"/>
        <v>0</v>
      </c>
      <c r="R17" s="154">
        <f t="shared" si="4"/>
        <v>15.72</v>
      </c>
      <c r="S17" s="154">
        <f t="shared" si="5"/>
        <v>3.63</v>
      </c>
      <c r="T17" s="154">
        <f t="shared" si="6"/>
        <v>0.72</v>
      </c>
      <c r="U17" s="306">
        <f t="shared" si="7"/>
        <v>20.07</v>
      </c>
    </row>
    <row r="18" spans="1:21" ht="17.25" customHeight="1">
      <c r="A18" s="153" t="s">
        <v>337</v>
      </c>
      <c r="B18" s="304">
        <v>0</v>
      </c>
      <c r="C18" s="304">
        <v>0</v>
      </c>
      <c r="D18" s="304">
        <v>0.6</v>
      </c>
      <c r="E18" s="306">
        <f t="shared" si="0"/>
        <v>0.6</v>
      </c>
      <c r="F18" s="304">
        <v>0</v>
      </c>
      <c r="G18" s="304">
        <v>0</v>
      </c>
      <c r="H18" s="304">
        <v>1.32</v>
      </c>
      <c r="I18" s="306">
        <f t="shared" si="1"/>
        <v>1.32</v>
      </c>
      <c r="J18" s="304">
        <v>15.72</v>
      </c>
      <c r="K18" s="304">
        <v>3.63</v>
      </c>
      <c r="L18" s="304">
        <v>0</v>
      </c>
      <c r="M18" s="306">
        <f t="shared" si="2"/>
        <v>19.35</v>
      </c>
      <c r="N18" s="305">
        <v>0</v>
      </c>
      <c r="O18" s="305">
        <v>0</v>
      </c>
      <c r="P18" s="305">
        <v>0</v>
      </c>
      <c r="Q18" s="306">
        <f t="shared" si="3"/>
        <v>0</v>
      </c>
      <c r="R18" s="154">
        <f t="shared" si="4"/>
        <v>15.72</v>
      </c>
      <c r="S18" s="154">
        <f t="shared" si="5"/>
        <v>3.63</v>
      </c>
      <c r="T18" s="154">
        <f t="shared" si="6"/>
        <v>1.92</v>
      </c>
      <c r="U18" s="306">
        <f t="shared" si="7"/>
        <v>21.270000000000003</v>
      </c>
    </row>
    <row r="19" spans="1:21" ht="17.25" customHeight="1">
      <c r="A19" s="153" t="s">
        <v>144</v>
      </c>
      <c r="B19" s="304">
        <v>20.63</v>
      </c>
      <c r="C19" s="304">
        <v>4.28</v>
      </c>
      <c r="D19" s="304">
        <v>1.25</v>
      </c>
      <c r="E19" s="306">
        <f t="shared" si="0"/>
        <v>26.16</v>
      </c>
      <c r="F19" s="304">
        <v>18.09</v>
      </c>
      <c r="G19" s="304">
        <v>4.73</v>
      </c>
      <c r="H19" s="304">
        <v>1.25</v>
      </c>
      <c r="I19" s="306">
        <f t="shared" si="1"/>
        <v>24.07</v>
      </c>
      <c r="J19" s="304">
        <v>15.72</v>
      </c>
      <c r="K19" s="304">
        <v>3.63</v>
      </c>
      <c r="L19" s="304">
        <v>1.25</v>
      </c>
      <c r="M19" s="306">
        <f t="shared" si="2"/>
        <v>20.6</v>
      </c>
      <c r="N19" s="305">
        <v>0</v>
      </c>
      <c r="O19" s="305">
        <v>0</v>
      </c>
      <c r="P19" s="305">
        <v>1.25</v>
      </c>
      <c r="Q19" s="306">
        <f t="shared" si="3"/>
        <v>1.25</v>
      </c>
      <c r="R19" s="154">
        <f t="shared" si="4"/>
        <v>54.44</v>
      </c>
      <c r="S19" s="154">
        <f t="shared" si="5"/>
        <v>12.64</v>
      </c>
      <c r="T19" s="154">
        <f t="shared" si="6"/>
        <v>5</v>
      </c>
      <c r="U19" s="306">
        <f t="shared" si="7"/>
        <v>72.08</v>
      </c>
    </row>
    <row r="20" spans="1:21" ht="17.25" customHeight="1">
      <c r="A20" s="155" t="s">
        <v>40</v>
      </c>
      <c r="B20" s="156">
        <f aca="true" t="shared" si="8" ref="B20:U20">SUM(B8:B19)</f>
        <v>41.26</v>
      </c>
      <c r="C20" s="156">
        <f t="shared" si="8"/>
        <v>8.56</v>
      </c>
      <c r="D20" s="156">
        <f t="shared" si="8"/>
        <v>5.83</v>
      </c>
      <c r="E20" s="156">
        <f t="shared" si="8"/>
        <v>55.650000000000006</v>
      </c>
      <c r="F20" s="156">
        <f t="shared" si="8"/>
        <v>36.18</v>
      </c>
      <c r="G20" s="156">
        <f t="shared" si="8"/>
        <v>9.46</v>
      </c>
      <c r="H20" s="156">
        <f t="shared" si="8"/>
        <v>6.62</v>
      </c>
      <c r="I20" s="156">
        <f t="shared" si="8"/>
        <v>52.260000000000005</v>
      </c>
      <c r="J20" s="156">
        <f t="shared" si="8"/>
        <v>78.60000000000001</v>
      </c>
      <c r="K20" s="156">
        <f t="shared" si="8"/>
        <v>14.52</v>
      </c>
      <c r="L20" s="156">
        <f t="shared" si="8"/>
        <v>5.49</v>
      </c>
      <c r="M20" s="156">
        <f t="shared" si="8"/>
        <v>98.61000000000001</v>
      </c>
      <c r="N20" s="156">
        <f t="shared" si="8"/>
        <v>32.34</v>
      </c>
      <c r="O20" s="156">
        <f t="shared" si="8"/>
        <v>6.82</v>
      </c>
      <c r="P20" s="156">
        <f t="shared" si="8"/>
        <v>7.02</v>
      </c>
      <c r="Q20" s="156">
        <f t="shared" si="8"/>
        <v>46.18000000000001</v>
      </c>
      <c r="R20" s="156">
        <f t="shared" si="8"/>
        <v>188.38</v>
      </c>
      <c r="S20" s="156">
        <f t="shared" si="8"/>
        <v>39.36</v>
      </c>
      <c r="T20" s="156">
        <f t="shared" si="8"/>
        <v>24.96</v>
      </c>
      <c r="U20" s="156">
        <f t="shared" si="8"/>
        <v>252.7</v>
      </c>
    </row>
    <row r="21" spans="1:21" s="73" customFormat="1" ht="16.5" customHeight="1">
      <c r="A21" s="487" t="s">
        <v>580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9"/>
    </row>
    <row r="22" spans="1:21" ht="20.25" customHeight="1">
      <c r="A22" s="153" t="s">
        <v>134</v>
      </c>
      <c r="B22" s="304">
        <v>19.54</v>
      </c>
      <c r="C22" s="304">
        <v>4.45</v>
      </c>
      <c r="D22" s="304">
        <v>0</v>
      </c>
      <c r="E22" s="306">
        <f aca="true" t="shared" si="9" ref="E22:E27">B22+C22+D22</f>
        <v>23.99</v>
      </c>
      <c r="F22" s="304">
        <v>19.29</v>
      </c>
      <c r="G22" s="304">
        <v>5.5</v>
      </c>
      <c r="H22" s="304">
        <v>0</v>
      </c>
      <c r="I22" s="306">
        <f aca="true" t="shared" si="10" ref="I22:I27">F22+G22+H22</f>
        <v>24.79</v>
      </c>
      <c r="J22" s="304">
        <v>15.66</v>
      </c>
      <c r="K22" s="304">
        <v>3.42</v>
      </c>
      <c r="L22" s="304">
        <v>0</v>
      </c>
      <c r="M22" s="306">
        <f aca="true" t="shared" si="11" ref="M22:M27">J22+K22+L22</f>
        <v>19.08</v>
      </c>
      <c r="N22" s="305">
        <v>25.77</v>
      </c>
      <c r="O22" s="305">
        <v>0</v>
      </c>
      <c r="P22" s="305">
        <v>0</v>
      </c>
      <c r="Q22" s="306">
        <f aca="true" t="shared" si="12" ref="Q22:Q27">N22+O22+P22</f>
        <v>25.77</v>
      </c>
      <c r="R22" s="154">
        <f aca="true" t="shared" si="13" ref="R22:R27">B22+F22+J22+N22</f>
        <v>80.25999999999999</v>
      </c>
      <c r="S22" s="154">
        <f aca="true" t="shared" si="14" ref="S22:S27">C22+G22+K22+O22</f>
        <v>13.37</v>
      </c>
      <c r="T22" s="154">
        <f aca="true" t="shared" si="15" ref="T22:T27">D22+H22+L22+P22</f>
        <v>0</v>
      </c>
      <c r="U22" s="306">
        <f aca="true" t="shared" si="16" ref="U22:U27">R22+S22+T22</f>
        <v>93.63</v>
      </c>
    </row>
    <row r="23" spans="1:21" ht="20.25" customHeight="1">
      <c r="A23" s="153" t="s">
        <v>135</v>
      </c>
      <c r="B23" s="304">
        <v>19.54</v>
      </c>
      <c r="C23" s="304">
        <v>0</v>
      </c>
      <c r="D23" s="304">
        <v>0</v>
      </c>
      <c r="E23" s="306">
        <f t="shared" si="9"/>
        <v>19.54</v>
      </c>
      <c r="F23" s="304">
        <v>19.29</v>
      </c>
      <c r="G23" s="304">
        <v>0</v>
      </c>
      <c r="H23" s="304">
        <v>0</v>
      </c>
      <c r="I23" s="306">
        <f t="shared" si="10"/>
        <v>19.29</v>
      </c>
      <c r="J23" s="304">
        <v>15.66</v>
      </c>
      <c r="K23" s="304">
        <v>2.42</v>
      </c>
      <c r="L23" s="304">
        <v>0</v>
      </c>
      <c r="M23" s="306">
        <f t="shared" si="11"/>
        <v>18.08</v>
      </c>
      <c r="N23" s="305">
        <v>0</v>
      </c>
      <c r="O23" s="305">
        <v>0</v>
      </c>
      <c r="P23" s="305">
        <v>0</v>
      </c>
      <c r="Q23" s="306">
        <f t="shared" si="12"/>
        <v>0</v>
      </c>
      <c r="R23" s="154">
        <f t="shared" si="13"/>
        <v>54.489999999999995</v>
      </c>
      <c r="S23" s="154">
        <f t="shared" si="14"/>
        <v>2.42</v>
      </c>
      <c r="T23" s="154">
        <f t="shared" si="15"/>
        <v>0</v>
      </c>
      <c r="U23" s="306">
        <f t="shared" si="16"/>
        <v>56.91</v>
      </c>
    </row>
    <row r="24" spans="1:21" ht="20.25" customHeight="1">
      <c r="A24" s="153" t="s">
        <v>136</v>
      </c>
      <c r="B24" s="304">
        <v>0</v>
      </c>
      <c r="C24" s="304">
        <v>0</v>
      </c>
      <c r="D24" s="304">
        <v>0</v>
      </c>
      <c r="E24" s="306">
        <f t="shared" si="9"/>
        <v>0</v>
      </c>
      <c r="F24" s="304">
        <v>0</v>
      </c>
      <c r="G24" s="304">
        <v>0</v>
      </c>
      <c r="H24" s="304">
        <v>0</v>
      </c>
      <c r="I24" s="306">
        <f t="shared" si="10"/>
        <v>0</v>
      </c>
      <c r="J24" s="304">
        <v>15.66</v>
      </c>
      <c r="K24" s="304">
        <v>2.42</v>
      </c>
      <c r="L24" s="304">
        <v>0</v>
      </c>
      <c r="M24" s="306">
        <f t="shared" si="11"/>
        <v>18.08</v>
      </c>
      <c r="N24" s="305">
        <v>0</v>
      </c>
      <c r="O24" s="305">
        <v>0</v>
      </c>
      <c r="P24" s="305">
        <v>0</v>
      </c>
      <c r="Q24" s="306">
        <f t="shared" si="12"/>
        <v>0</v>
      </c>
      <c r="R24" s="154">
        <f t="shared" si="13"/>
        <v>15.66</v>
      </c>
      <c r="S24" s="154">
        <f t="shared" si="14"/>
        <v>2.42</v>
      </c>
      <c r="T24" s="154">
        <f t="shared" si="15"/>
        <v>0</v>
      </c>
      <c r="U24" s="306">
        <f t="shared" si="16"/>
        <v>18.08</v>
      </c>
    </row>
    <row r="25" spans="1:21" ht="20.25" customHeight="1">
      <c r="A25" s="153" t="s">
        <v>137</v>
      </c>
      <c r="B25" s="304">
        <v>0</v>
      </c>
      <c r="C25" s="304">
        <v>0</v>
      </c>
      <c r="D25" s="304">
        <v>0</v>
      </c>
      <c r="E25" s="306">
        <f t="shared" si="9"/>
        <v>0</v>
      </c>
      <c r="F25" s="304">
        <v>0</v>
      </c>
      <c r="G25" s="304">
        <v>0</v>
      </c>
      <c r="H25" s="304">
        <v>0</v>
      </c>
      <c r="I25" s="306">
        <f t="shared" si="10"/>
        <v>0</v>
      </c>
      <c r="J25" s="304">
        <v>15.66</v>
      </c>
      <c r="K25" s="304">
        <v>0</v>
      </c>
      <c r="L25" s="304">
        <v>0</v>
      </c>
      <c r="M25" s="306">
        <f t="shared" si="11"/>
        <v>15.66</v>
      </c>
      <c r="N25" s="305">
        <v>0</v>
      </c>
      <c r="O25" s="305">
        <v>0</v>
      </c>
      <c r="P25" s="305">
        <v>0</v>
      </c>
      <c r="Q25" s="306">
        <f t="shared" si="12"/>
        <v>0</v>
      </c>
      <c r="R25" s="154">
        <f t="shared" si="13"/>
        <v>15.66</v>
      </c>
      <c r="S25" s="154">
        <f t="shared" si="14"/>
        <v>0</v>
      </c>
      <c r="T25" s="154">
        <f t="shared" si="15"/>
        <v>0</v>
      </c>
      <c r="U25" s="306">
        <f t="shared" si="16"/>
        <v>15.66</v>
      </c>
    </row>
    <row r="26" spans="1:21" ht="20.25" customHeight="1">
      <c r="A26" s="153" t="s">
        <v>331</v>
      </c>
      <c r="B26" s="304">
        <v>0</v>
      </c>
      <c r="C26" s="304">
        <v>0</v>
      </c>
      <c r="D26" s="304">
        <v>0</v>
      </c>
      <c r="E26" s="306">
        <f t="shared" si="9"/>
        <v>0</v>
      </c>
      <c r="F26" s="304">
        <v>0</v>
      </c>
      <c r="G26" s="304">
        <v>0</v>
      </c>
      <c r="H26" s="304">
        <v>0</v>
      </c>
      <c r="I26" s="306">
        <f t="shared" si="10"/>
        <v>0</v>
      </c>
      <c r="J26" s="304">
        <v>0</v>
      </c>
      <c r="K26" s="304">
        <v>0</v>
      </c>
      <c r="L26" s="304">
        <v>0</v>
      </c>
      <c r="M26" s="306">
        <f t="shared" si="11"/>
        <v>0</v>
      </c>
      <c r="N26" s="305">
        <v>0</v>
      </c>
      <c r="O26" s="305">
        <v>0</v>
      </c>
      <c r="P26" s="305">
        <v>0</v>
      </c>
      <c r="Q26" s="306">
        <f t="shared" si="12"/>
        <v>0</v>
      </c>
      <c r="R26" s="154">
        <f t="shared" si="13"/>
        <v>0</v>
      </c>
      <c r="S26" s="154">
        <f t="shared" si="14"/>
        <v>0</v>
      </c>
      <c r="T26" s="154">
        <f t="shared" si="15"/>
        <v>0</v>
      </c>
      <c r="U26" s="306">
        <f t="shared" si="16"/>
        <v>0</v>
      </c>
    </row>
    <row r="27" spans="1:21" ht="20.25" customHeight="1">
      <c r="A27" s="153" t="s">
        <v>332</v>
      </c>
      <c r="B27" s="304">
        <v>0</v>
      </c>
      <c r="C27" s="304">
        <v>0</v>
      </c>
      <c r="D27" s="304">
        <v>0</v>
      </c>
      <c r="E27" s="306">
        <f t="shared" si="9"/>
        <v>0</v>
      </c>
      <c r="F27" s="304">
        <v>0</v>
      </c>
      <c r="G27" s="304">
        <v>0</v>
      </c>
      <c r="H27" s="304">
        <v>0</v>
      </c>
      <c r="I27" s="306">
        <f t="shared" si="10"/>
        <v>0</v>
      </c>
      <c r="J27" s="304">
        <v>0</v>
      </c>
      <c r="K27" s="304">
        <v>0</v>
      </c>
      <c r="L27" s="304">
        <v>0</v>
      </c>
      <c r="M27" s="306">
        <f t="shared" si="11"/>
        <v>0</v>
      </c>
      <c r="N27" s="305">
        <v>0</v>
      </c>
      <c r="O27" s="305">
        <v>0</v>
      </c>
      <c r="P27" s="305">
        <v>0</v>
      </c>
      <c r="Q27" s="306">
        <f t="shared" si="12"/>
        <v>0</v>
      </c>
      <c r="R27" s="154">
        <f t="shared" si="13"/>
        <v>0</v>
      </c>
      <c r="S27" s="154">
        <f t="shared" si="14"/>
        <v>0</v>
      </c>
      <c r="T27" s="154">
        <f t="shared" si="15"/>
        <v>0</v>
      </c>
      <c r="U27" s="306">
        <f t="shared" si="16"/>
        <v>0</v>
      </c>
    </row>
    <row r="28" spans="1:21" ht="20.25" customHeight="1">
      <c r="A28" s="155" t="s">
        <v>40</v>
      </c>
      <c r="B28" s="156">
        <f>SUM(B22:B27)</f>
        <v>39.08</v>
      </c>
      <c r="C28" s="156">
        <f aca="true" t="shared" si="17" ref="C28:U28">SUM(C22:C27)</f>
        <v>4.45</v>
      </c>
      <c r="D28" s="156">
        <f t="shared" si="17"/>
        <v>0</v>
      </c>
      <c r="E28" s="156">
        <f t="shared" si="17"/>
        <v>43.53</v>
      </c>
      <c r="F28" s="156">
        <f t="shared" si="17"/>
        <v>38.58</v>
      </c>
      <c r="G28" s="156">
        <f t="shared" si="17"/>
        <v>5.5</v>
      </c>
      <c r="H28" s="156">
        <f t="shared" si="17"/>
        <v>0</v>
      </c>
      <c r="I28" s="156">
        <f t="shared" si="17"/>
        <v>44.08</v>
      </c>
      <c r="J28" s="156">
        <f t="shared" si="17"/>
        <v>62.64</v>
      </c>
      <c r="K28" s="156">
        <f t="shared" si="17"/>
        <v>8.26</v>
      </c>
      <c r="L28" s="156">
        <f t="shared" si="17"/>
        <v>0</v>
      </c>
      <c r="M28" s="156">
        <f t="shared" si="17"/>
        <v>70.89999999999999</v>
      </c>
      <c r="N28" s="156">
        <f t="shared" si="17"/>
        <v>25.77</v>
      </c>
      <c r="O28" s="156">
        <f t="shared" si="17"/>
        <v>0</v>
      </c>
      <c r="P28" s="156">
        <f t="shared" si="17"/>
        <v>0</v>
      </c>
      <c r="Q28" s="156">
        <f t="shared" si="17"/>
        <v>25.77</v>
      </c>
      <c r="R28" s="156">
        <f t="shared" si="17"/>
        <v>166.07</v>
      </c>
      <c r="S28" s="156">
        <f t="shared" si="17"/>
        <v>18.21</v>
      </c>
      <c r="T28" s="156">
        <f t="shared" si="17"/>
        <v>0</v>
      </c>
      <c r="U28" s="156">
        <f t="shared" si="17"/>
        <v>184.28</v>
      </c>
    </row>
    <row r="30" spans="2:5" ht="12.75">
      <c r="B30" s="157" t="s">
        <v>329</v>
      </c>
      <c r="C30" s="157" t="s">
        <v>305</v>
      </c>
      <c r="D30" s="157"/>
      <c r="E30" s="157"/>
    </row>
    <row r="31" spans="2:5" ht="12.75">
      <c r="B31" s="157" t="s">
        <v>338</v>
      </c>
      <c r="C31" s="157" t="s">
        <v>367</v>
      </c>
      <c r="D31" s="157"/>
      <c r="E31" s="157"/>
    </row>
    <row r="32" spans="2:5" ht="12.75">
      <c r="B32" s="157"/>
      <c r="C32" s="157"/>
      <c r="D32" s="157"/>
      <c r="E32" s="157"/>
    </row>
    <row r="88" s="158" customFormat="1" ht="13.5" customHeight="1"/>
    <row r="89" spans="2:21" ht="15" customHeight="1" hidden="1">
      <c r="B89" s="490" t="s">
        <v>339</v>
      </c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</row>
  </sheetData>
  <sheetProtection/>
  <mergeCells count="12">
    <mergeCell ref="N5:Q5"/>
    <mergeCell ref="R5:U5"/>
    <mergeCell ref="A7:U7"/>
    <mergeCell ref="A21:U21"/>
    <mergeCell ref="B89:U89"/>
    <mergeCell ref="A1:U1"/>
    <mergeCell ref="A2:U2"/>
    <mergeCell ref="A3:U3"/>
    <mergeCell ref="A4:U4"/>
    <mergeCell ref="B5:E5"/>
    <mergeCell ref="F5:I5"/>
    <mergeCell ref="J5:M5"/>
  </mergeCells>
  <printOptions/>
  <pageMargins left="0.34" right="0.17" top="0.75" bottom="0.75" header="0.3" footer="0.3"/>
  <pageSetup fitToHeight="1" fitToWidth="1" horizontalDpi="600" verticalDpi="600" orientation="landscape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140625" style="151" bestFit="1" customWidth="1"/>
    <col min="2" max="2" width="28.57421875" style="151" bestFit="1" customWidth="1"/>
    <col min="3" max="3" width="11.57421875" style="151" bestFit="1" customWidth="1"/>
    <col min="4" max="5" width="9.8515625" style="151" customWidth="1"/>
    <col min="6" max="6" width="12.28125" style="151" bestFit="1" customWidth="1"/>
    <col min="7" max="7" width="8.8515625" style="151" bestFit="1" customWidth="1"/>
    <col min="8" max="8" width="10.421875" style="151" bestFit="1" customWidth="1"/>
    <col min="9" max="9" width="11.57421875" style="151" bestFit="1" customWidth="1"/>
    <col min="10" max="11" width="9.8515625" style="151" customWidth="1"/>
    <col min="12" max="16384" width="9.140625" style="151" customWidth="1"/>
  </cols>
  <sheetData>
    <row r="1" spans="1:11" ht="15">
      <c r="A1" s="491" t="s">
        <v>340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ht="17.25" customHeight="1">
      <c r="A2" s="492" t="s">
        <v>323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spans="1:14" ht="21.75" customHeight="1">
      <c r="A3" s="498" t="s">
        <v>341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69"/>
      <c r="M3" s="69"/>
      <c r="N3" s="69"/>
    </row>
    <row r="4" spans="1:11" s="152" customFormat="1" ht="27" customHeight="1">
      <c r="A4" s="499" t="s">
        <v>37</v>
      </c>
      <c r="B4" s="499" t="s">
        <v>39</v>
      </c>
      <c r="C4" s="500" t="s">
        <v>576</v>
      </c>
      <c r="D4" s="501"/>
      <c r="E4" s="502"/>
      <c r="F4" s="503" t="s">
        <v>577</v>
      </c>
      <c r="G4" s="503"/>
      <c r="H4" s="503"/>
      <c r="I4" s="503" t="s">
        <v>578</v>
      </c>
      <c r="J4" s="503"/>
      <c r="K4" s="503"/>
    </row>
    <row r="5" spans="1:11" s="73" customFormat="1" ht="25.5">
      <c r="A5" s="499"/>
      <c r="B5" s="499"/>
      <c r="C5" s="72" t="s">
        <v>342</v>
      </c>
      <c r="D5" s="72" t="s">
        <v>343</v>
      </c>
      <c r="E5" s="72" t="s">
        <v>344</v>
      </c>
      <c r="F5" s="72" t="s">
        <v>342</v>
      </c>
      <c r="G5" s="72" t="s">
        <v>343</v>
      </c>
      <c r="H5" s="72" t="s">
        <v>344</v>
      </c>
      <c r="I5" s="72" t="s">
        <v>342</v>
      </c>
      <c r="J5" s="72" t="s">
        <v>343</v>
      </c>
      <c r="K5" s="72" t="s">
        <v>344</v>
      </c>
    </row>
    <row r="6" spans="1:11" ht="23.25" customHeight="1">
      <c r="A6" s="71" t="s">
        <v>115</v>
      </c>
      <c r="B6" s="307" t="s">
        <v>345</v>
      </c>
      <c r="C6" s="308"/>
      <c r="D6" s="308"/>
      <c r="E6" s="308"/>
      <c r="F6" s="308"/>
      <c r="G6" s="308"/>
      <c r="H6" s="308"/>
      <c r="I6" s="308"/>
      <c r="J6" s="308"/>
      <c r="K6" s="308"/>
    </row>
    <row r="7" spans="1:11" ht="23.25" customHeight="1">
      <c r="A7" s="309">
        <v>1</v>
      </c>
      <c r="B7" s="310" t="s">
        <v>119</v>
      </c>
      <c r="C7" s="308">
        <f>'Pool Cost'!C120</f>
        <v>1665.6069209999998</v>
      </c>
      <c r="D7" s="311">
        <f>E7/C7*1000</f>
        <v>399.01244148348496</v>
      </c>
      <c r="E7" s="308">
        <f>'Pool Cost'!D120</f>
        <v>664.5978841</v>
      </c>
      <c r="F7" s="308">
        <f>'Pool Cost'!L120</f>
        <v>829.078</v>
      </c>
      <c r="G7" s="311">
        <f>H7/F7*1000</f>
        <v>452.86691963844186</v>
      </c>
      <c r="H7" s="308">
        <f>'Pool Cost'!M120</f>
        <v>375.46200000000005</v>
      </c>
      <c r="I7" s="308">
        <f>'Pool Cost'!O120</f>
        <v>2119.1414545454536</v>
      </c>
      <c r="J7" s="311">
        <f>K7/I7*1000</f>
        <v>400</v>
      </c>
      <c r="K7" s="308">
        <f>'Pool Cost'!P120</f>
        <v>847.6565818181815</v>
      </c>
    </row>
    <row r="8" spans="1:11" ht="23.25" customHeight="1">
      <c r="A8" s="309">
        <v>2</v>
      </c>
      <c r="B8" s="310" t="s">
        <v>346</v>
      </c>
      <c r="C8" s="308">
        <f>'Pool Cost'!C121</f>
        <v>1711.439457</v>
      </c>
      <c r="D8" s="311">
        <f>E8/C8*1000</f>
        <v>143.79926061269956</v>
      </c>
      <c r="E8" s="308">
        <f>'Pool Cost'!D121</f>
        <v>246.1037285</v>
      </c>
      <c r="F8" s="308">
        <f>'Pool Cost'!L121</f>
        <v>585.471</v>
      </c>
      <c r="G8" s="311">
        <f>H8/F8*1000</f>
        <v>500.31854694767117</v>
      </c>
      <c r="H8" s="308">
        <f>'Pool Cost'!M121</f>
        <v>292.922</v>
      </c>
      <c r="I8" s="308">
        <v>0</v>
      </c>
      <c r="J8" s="311">
        <v>0</v>
      </c>
      <c r="K8" s="308">
        <v>0</v>
      </c>
    </row>
    <row r="9" spans="1:11" ht="23.25" customHeight="1">
      <c r="A9" s="309">
        <v>3</v>
      </c>
      <c r="B9" s="312" t="s">
        <v>347</v>
      </c>
      <c r="C9" s="313">
        <f>SUM(C7:C8)</f>
        <v>3377.046378</v>
      </c>
      <c r="D9" s="314">
        <f>E9/C9*1000</f>
        <v>269.6740022680257</v>
      </c>
      <c r="E9" s="313">
        <f>SUM(E7:E8)</f>
        <v>910.7016126</v>
      </c>
      <c r="F9" s="313">
        <f>SUM(F7:F8)</f>
        <v>1414.549</v>
      </c>
      <c r="G9" s="314">
        <f>H9/F9*1000</f>
        <v>472.5067848480329</v>
      </c>
      <c r="H9" s="313">
        <f>SUM(H7:H8)</f>
        <v>668.384</v>
      </c>
      <c r="I9" s="313">
        <f>SUM(I7:I8)</f>
        <v>2119.1414545454536</v>
      </c>
      <c r="J9" s="314">
        <v>0</v>
      </c>
      <c r="K9" s="313">
        <f>SUM(K7:K8)</f>
        <v>847.6565818181815</v>
      </c>
    </row>
    <row r="10" spans="1:11" ht="23.25" customHeight="1">
      <c r="A10" s="71" t="s">
        <v>116</v>
      </c>
      <c r="B10" s="307" t="s">
        <v>348</v>
      </c>
      <c r="C10" s="308"/>
      <c r="D10" s="308"/>
      <c r="E10" s="308"/>
      <c r="F10" s="308"/>
      <c r="G10" s="308"/>
      <c r="H10" s="308"/>
      <c r="I10" s="308"/>
      <c r="J10" s="308"/>
      <c r="K10" s="308"/>
    </row>
    <row r="11" spans="1:11" ht="23.25" customHeight="1">
      <c r="A11" s="309">
        <v>4</v>
      </c>
      <c r="B11" s="310" t="s">
        <v>119</v>
      </c>
      <c r="C11" s="308">
        <f>'Pool Cost'!C103</f>
        <v>16.0955</v>
      </c>
      <c r="D11" s="311">
        <f>E11/C11*1000</f>
        <v>303.18815196794134</v>
      </c>
      <c r="E11" s="308">
        <f>'Pool Cost'!D103</f>
        <v>4.8799649</v>
      </c>
      <c r="F11" s="308">
        <f>'Pool Cost'!L103</f>
        <v>269.277</v>
      </c>
      <c r="G11" s="311">
        <f>H11/F11*1000</f>
        <v>298.79269302614034</v>
      </c>
      <c r="H11" s="308">
        <f>'Pool Cost'!M103</f>
        <v>80.458</v>
      </c>
      <c r="I11" s="308">
        <v>0</v>
      </c>
      <c r="J11" s="308">
        <v>0</v>
      </c>
      <c r="K11" s="308">
        <v>0</v>
      </c>
    </row>
    <row r="12" spans="1:11" ht="23.25" customHeight="1">
      <c r="A12" s="309">
        <v>5</v>
      </c>
      <c r="B12" s="310" t="s">
        <v>346</v>
      </c>
      <c r="C12" s="308">
        <f>'Pool Cost'!C23+'Pool Cost'!C101</f>
        <v>372.103912</v>
      </c>
      <c r="D12" s="311">
        <f>E12/C12*1000</f>
        <v>73.97534025388049</v>
      </c>
      <c r="E12" s="308">
        <f>'Pool Cost'!D101+'Pool Cost'!D23</f>
        <v>27.5265135</v>
      </c>
      <c r="F12" s="308">
        <f>'Pool Cost'!L23+'Pool Cost'!L101</f>
        <v>255.19099999999997</v>
      </c>
      <c r="G12" s="311">
        <f>H12/F12*1000</f>
        <v>232.8949688664569</v>
      </c>
      <c r="H12" s="308">
        <f>'Pool Cost'!M23+'Pool Cost'!M101</f>
        <v>59.4327</v>
      </c>
      <c r="I12" s="308">
        <v>0</v>
      </c>
      <c r="J12" s="308">
        <v>0</v>
      </c>
      <c r="K12" s="308">
        <v>0</v>
      </c>
    </row>
    <row r="13" spans="1:11" ht="23.25" customHeight="1">
      <c r="A13" s="309">
        <v>6</v>
      </c>
      <c r="B13" s="312" t="s">
        <v>349</v>
      </c>
      <c r="C13" s="313">
        <f>SUM(C11:C12)</f>
        <v>388.199412</v>
      </c>
      <c r="D13" s="314">
        <f>E13/C13*1000</f>
        <v>83.47894767032774</v>
      </c>
      <c r="E13" s="313">
        <f>SUM(E11:E12)</f>
        <v>32.4064784</v>
      </c>
      <c r="F13" s="313">
        <f>SUM(F11:F12)</f>
        <v>524.468</v>
      </c>
      <c r="G13" s="314">
        <f>H13/F13*1000</f>
        <v>266.7287613352959</v>
      </c>
      <c r="H13" s="313">
        <f>SUM(H11:H12)</f>
        <v>139.89069999999998</v>
      </c>
      <c r="I13" s="313">
        <f>SUM(I11:I12)</f>
        <v>0</v>
      </c>
      <c r="J13" s="314">
        <v>0</v>
      </c>
      <c r="K13" s="313">
        <f>SUM(K11:K12)</f>
        <v>0</v>
      </c>
    </row>
    <row r="14" spans="1:11" ht="23.25" customHeight="1">
      <c r="A14" s="71" t="s">
        <v>28</v>
      </c>
      <c r="B14" s="307" t="s">
        <v>350</v>
      </c>
      <c r="C14" s="308"/>
      <c r="D14" s="308"/>
      <c r="E14" s="308"/>
      <c r="F14" s="308"/>
      <c r="G14" s="308"/>
      <c r="H14" s="308"/>
      <c r="I14" s="308"/>
      <c r="J14" s="308"/>
      <c r="K14" s="308"/>
    </row>
    <row r="15" spans="1:11" ht="23.25" customHeight="1">
      <c r="A15" s="309">
        <v>7</v>
      </c>
      <c r="B15" s="310" t="s">
        <v>351</v>
      </c>
      <c r="C15" s="308">
        <f>C7-C11</f>
        <v>1649.511421</v>
      </c>
      <c r="D15" s="311">
        <f>E15/C15*1000</f>
        <v>399.94746977868914</v>
      </c>
      <c r="E15" s="308">
        <f>E7-E11</f>
        <v>659.7179192</v>
      </c>
      <c r="F15" s="308">
        <f>F7-F11</f>
        <v>559.8009999999999</v>
      </c>
      <c r="G15" s="311">
        <f>H15/F15*1000</f>
        <v>526.9801232938133</v>
      </c>
      <c r="H15" s="308">
        <f aca="true" t="shared" si="0" ref="H15:K16">H7-H11</f>
        <v>295.004</v>
      </c>
      <c r="I15" s="308">
        <f t="shared" si="0"/>
        <v>2119.1414545454536</v>
      </c>
      <c r="J15" s="308">
        <f t="shared" si="0"/>
        <v>400</v>
      </c>
      <c r="K15" s="308">
        <f t="shared" si="0"/>
        <v>847.6565818181815</v>
      </c>
    </row>
    <row r="16" spans="1:11" ht="23.25" customHeight="1">
      <c r="A16" s="309">
        <v>8</v>
      </c>
      <c r="B16" s="310" t="s">
        <v>352</v>
      </c>
      <c r="C16" s="308">
        <f>C8-C12</f>
        <v>1339.335545</v>
      </c>
      <c r="D16" s="311">
        <f>E16/C16*1000</f>
        <v>163.19824842698398</v>
      </c>
      <c r="E16" s="308">
        <f>E8-E12</f>
        <v>218.577215</v>
      </c>
      <c r="F16" s="308">
        <f>F8-F12</f>
        <v>330.28000000000003</v>
      </c>
      <c r="G16" s="311">
        <f>H16/F16*1000</f>
        <v>706.9435024827418</v>
      </c>
      <c r="H16" s="308">
        <f t="shared" si="0"/>
        <v>233.48930000000001</v>
      </c>
      <c r="I16" s="308">
        <f t="shared" si="0"/>
        <v>0</v>
      </c>
      <c r="J16" s="308">
        <f t="shared" si="0"/>
        <v>0</v>
      </c>
      <c r="K16" s="308">
        <f t="shared" si="0"/>
        <v>0</v>
      </c>
    </row>
    <row r="17" spans="1:11" ht="23.25" customHeight="1">
      <c r="A17" s="309">
        <v>9</v>
      </c>
      <c r="B17" s="312" t="s">
        <v>353</v>
      </c>
      <c r="C17" s="313">
        <f>SUM(C15:C16)</f>
        <v>2988.846966</v>
      </c>
      <c r="D17" s="314">
        <f>E17/C17*1000</f>
        <v>293.85751234210227</v>
      </c>
      <c r="E17" s="313">
        <f>SUM(E15:E16)</f>
        <v>878.2951342</v>
      </c>
      <c r="F17" s="313">
        <f>SUM(F15:F16)</f>
        <v>890.0809999999999</v>
      </c>
      <c r="G17" s="314">
        <f>H17/F17*1000</f>
        <v>593.7586579198974</v>
      </c>
      <c r="H17" s="313">
        <f>SUM(H15:H16)</f>
        <v>528.4933000000001</v>
      </c>
      <c r="I17" s="313">
        <f>SUM(I15:I16)</f>
        <v>2119.1414545454536</v>
      </c>
      <c r="J17" s="314">
        <v>0</v>
      </c>
      <c r="K17" s="313">
        <f>SUM(K15:K16)</f>
        <v>847.6565818181815</v>
      </c>
    </row>
    <row r="22" s="158" customFormat="1" ht="13.5" customHeight="1"/>
    <row r="23" spans="3:11" ht="15" customHeight="1" hidden="1">
      <c r="C23" s="490" t="s">
        <v>339</v>
      </c>
      <c r="D23" s="490"/>
      <c r="E23" s="490"/>
      <c r="F23" s="490"/>
      <c r="G23" s="490"/>
      <c r="H23" s="490"/>
      <c r="I23" s="490"/>
      <c r="J23" s="490"/>
      <c r="K23" s="490"/>
    </row>
  </sheetData>
  <sheetProtection/>
  <mergeCells count="9">
    <mergeCell ref="C23:K23"/>
    <mergeCell ref="A1:K1"/>
    <mergeCell ref="A2:K2"/>
    <mergeCell ref="A3:K3"/>
    <mergeCell ref="A4:A5"/>
    <mergeCell ref="B4:B5"/>
    <mergeCell ref="C4:E4"/>
    <mergeCell ref="F4:H4"/>
    <mergeCell ref="I4:K4"/>
  </mergeCells>
  <printOptions/>
  <pageMargins left="0.7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98" zoomScaleNormal="98" zoomScalePageLayoutView="0" workbookViewId="0" topLeftCell="A16">
      <selection activeCell="C7" sqref="C7:C11"/>
    </sheetView>
  </sheetViews>
  <sheetFormatPr defaultColWidth="14.7109375" defaultRowHeight="12.75"/>
  <cols>
    <col min="1" max="1" width="7.421875" style="77" bestFit="1" customWidth="1"/>
    <col min="2" max="2" width="47.7109375" style="77" bestFit="1" customWidth="1"/>
    <col min="3" max="3" width="19.140625" style="77" bestFit="1" customWidth="1"/>
    <col min="4" max="4" width="17.421875" style="77" bestFit="1" customWidth="1"/>
    <col min="5" max="5" width="18.57421875" style="77" bestFit="1" customWidth="1"/>
    <col min="6" max="6" width="16.57421875" style="77" customWidth="1"/>
    <col min="7" max="7" width="32.8515625" style="77" bestFit="1" customWidth="1"/>
    <col min="8" max="8" width="18.57421875" style="77" bestFit="1" customWidth="1"/>
    <col min="9" max="9" width="16.421875" style="77" bestFit="1" customWidth="1"/>
    <col min="10" max="10" width="18.57421875" style="77" bestFit="1" customWidth="1"/>
    <col min="11" max="11" width="16.421875" style="77" bestFit="1" customWidth="1"/>
    <col min="12" max="12" width="15.57421875" style="77" bestFit="1" customWidth="1"/>
    <col min="13" max="16384" width="14.7109375" style="77" customWidth="1"/>
  </cols>
  <sheetData>
    <row r="1" spans="1:5" ht="15.75">
      <c r="A1" s="441" t="s">
        <v>267</v>
      </c>
      <c r="B1" s="441"/>
      <c r="C1" s="441"/>
      <c r="D1" s="441"/>
      <c r="E1" s="441"/>
    </row>
    <row r="2" spans="1:5" ht="28.5" customHeight="1">
      <c r="A2" s="442" t="s">
        <v>149</v>
      </c>
      <c r="B2" s="442"/>
      <c r="C2" s="442"/>
      <c r="D2" s="442"/>
      <c r="E2" s="442"/>
    </row>
    <row r="3" spans="1:6" ht="15.75">
      <c r="A3" s="440" t="s">
        <v>75</v>
      </c>
      <c r="B3" s="440"/>
      <c r="C3" s="440"/>
      <c r="D3" s="440"/>
      <c r="E3" s="440"/>
      <c r="F3" s="78"/>
    </row>
    <row r="4" spans="1:6" ht="15.75">
      <c r="A4" s="443" t="s">
        <v>106</v>
      </c>
      <c r="B4" s="443"/>
      <c r="C4" s="443"/>
      <c r="D4" s="443"/>
      <c r="E4" s="443"/>
      <c r="F4" s="78"/>
    </row>
    <row r="5" spans="1:5" ht="32.25" customHeight="1">
      <c r="A5" s="214" t="s">
        <v>37</v>
      </c>
      <c r="B5" s="214" t="s">
        <v>39</v>
      </c>
      <c r="C5" s="214" t="s">
        <v>573</v>
      </c>
      <c r="D5" s="214" t="s">
        <v>574</v>
      </c>
      <c r="E5" s="214" t="s">
        <v>575</v>
      </c>
    </row>
    <row r="6" spans="1:5" ht="30" customHeight="1">
      <c r="A6" s="79" t="s">
        <v>107</v>
      </c>
      <c r="B6" s="80" t="s">
        <v>145</v>
      </c>
      <c r="C6" s="81"/>
      <c r="D6" s="81"/>
      <c r="E6" s="81"/>
    </row>
    <row r="7" spans="1:12" ht="23.25" customHeight="1">
      <c r="A7" s="79"/>
      <c r="B7" s="82" t="s">
        <v>24</v>
      </c>
      <c r="C7" s="81">
        <v>0.1434117</v>
      </c>
      <c r="D7" s="81">
        <f aca="true" t="shared" si="0" ref="D7:E11">C28</f>
        <v>0.2505125</v>
      </c>
      <c r="E7" s="81">
        <f t="shared" si="0"/>
        <v>0.3005125</v>
      </c>
      <c r="L7" s="227"/>
    </row>
    <row r="8" spans="1:12" ht="23.25" customHeight="1">
      <c r="A8" s="79"/>
      <c r="B8" s="83" t="s">
        <v>25</v>
      </c>
      <c r="C8" s="81">
        <v>0.9253768</v>
      </c>
      <c r="D8" s="81">
        <f t="shared" si="0"/>
        <v>1.321725</v>
      </c>
      <c r="E8" s="81">
        <f t="shared" si="0"/>
        <v>1.521725</v>
      </c>
      <c r="L8" s="227"/>
    </row>
    <row r="9" spans="1:12" ht="23.25" customHeight="1">
      <c r="A9" s="79"/>
      <c r="B9" s="83" t="s">
        <v>79</v>
      </c>
      <c r="C9" s="81">
        <v>0.2574915</v>
      </c>
      <c r="D9" s="81">
        <f t="shared" si="0"/>
        <v>0.2574915</v>
      </c>
      <c r="E9" s="81">
        <f t="shared" si="0"/>
        <v>0.2574915</v>
      </c>
      <c r="L9" s="227"/>
    </row>
    <row r="10" spans="1:12" ht="23.25" customHeight="1">
      <c r="A10" s="79"/>
      <c r="B10" s="83" t="s">
        <v>81</v>
      </c>
      <c r="C10" s="81">
        <v>0.0666458</v>
      </c>
      <c r="D10" s="81">
        <f t="shared" si="0"/>
        <v>0.1351158</v>
      </c>
      <c r="E10" s="81">
        <f t="shared" si="0"/>
        <v>0.1851158</v>
      </c>
      <c r="L10" s="227"/>
    </row>
    <row r="11" spans="1:12" ht="23.25" customHeight="1">
      <c r="A11" s="79"/>
      <c r="B11" s="83" t="s">
        <v>80</v>
      </c>
      <c r="C11" s="81">
        <v>0.0034269</v>
      </c>
      <c r="D11" s="81">
        <f t="shared" si="0"/>
        <v>0.0209636</v>
      </c>
      <c r="E11" s="81">
        <f t="shared" si="0"/>
        <v>0.0709636</v>
      </c>
      <c r="L11" s="227"/>
    </row>
    <row r="12" spans="1:5" ht="30" customHeight="1">
      <c r="A12" s="79"/>
      <c r="B12" s="80" t="s">
        <v>40</v>
      </c>
      <c r="C12" s="133">
        <f>SUM(C7:C11)</f>
        <v>1.3963527</v>
      </c>
      <c r="D12" s="133">
        <f>SUM(D7:D11)</f>
        <v>1.9858083999999998</v>
      </c>
      <c r="E12" s="133">
        <f>SUM(E7:E11)</f>
        <v>2.3358084</v>
      </c>
    </row>
    <row r="13" spans="1:5" ht="15.75">
      <c r="A13" s="79" t="s">
        <v>108</v>
      </c>
      <c r="B13" s="84" t="s">
        <v>146</v>
      </c>
      <c r="C13" s="81"/>
      <c r="D13" s="81"/>
      <c r="E13" s="81"/>
    </row>
    <row r="14" spans="1:5" ht="23.25" customHeight="1">
      <c r="A14" s="79"/>
      <c r="B14" s="82" t="s">
        <v>24</v>
      </c>
      <c r="C14" s="381">
        <v>0.1071008</v>
      </c>
      <c r="D14" s="81">
        <v>0.05</v>
      </c>
      <c r="E14" s="81">
        <v>0.05</v>
      </c>
    </row>
    <row r="15" spans="1:5" ht="23.25" customHeight="1">
      <c r="A15" s="79"/>
      <c r="B15" s="83" t="s">
        <v>25</v>
      </c>
      <c r="C15" s="81">
        <v>0.3963482</v>
      </c>
      <c r="D15" s="81">
        <v>0.2</v>
      </c>
      <c r="E15" s="81">
        <v>0.05</v>
      </c>
    </row>
    <row r="16" spans="1:5" ht="23.25" customHeight="1">
      <c r="A16" s="79"/>
      <c r="B16" s="83" t="s">
        <v>79</v>
      </c>
      <c r="C16" s="81">
        <v>0</v>
      </c>
      <c r="D16" s="81">
        <v>0</v>
      </c>
      <c r="E16" s="81">
        <v>0.3</v>
      </c>
    </row>
    <row r="17" spans="1:5" ht="23.25" customHeight="1">
      <c r="A17" s="79"/>
      <c r="B17" s="83" t="s">
        <v>81</v>
      </c>
      <c r="C17" s="381">
        <v>0.06847</v>
      </c>
      <c r="D17" s="81">
        <v>0.05</v>
      </c>
      <c r="E17" s="81">
        <v>0.05</v>
      </c>
    </row>
    <row r="18" spans="1:5" ht="23.25" customHeight="1">
      <c r="A18" s="79"/>
      <c r="B18" s="83" t="s">
        <v>80</v>
      </c>
      <c r="C18" s="381">
        <v>0.0175367</v>
      </c>
      <c r="D18" s="81">
        <v>0.05</v>
      </c>
      <c r="E18" s="81">
        <v>0.05</v>
      </c>
    </row>
    <row r="19" spans="1:5" ht="30" customHeight="1">
      <c r="A19" s="79"/>
      <c r="B19" s="80" t="s">
        <v>40</v>
      </c>
      <c r="C19" s="228">
        <f>SUM(C14:C18)</f>
        <v>0.5894557</v>
      </c>
      <c r="D19" s="133">
        <f>SUM(D14:D18)</f>
        <v>0.35</v>
      </c>
      <c r="E19" s="133">
        <f>SUM(E14:E18)</f>
        <v>0.5</v>
      </c>
    </row>
    <row r="20" spans="1:5" ht="15.75">
      <c r="A20" s="79" t="s">
        <v>109</v>
      </c>
      <c r="B20" s="84" t="s">
        <v>505</v>
      </c>
      <c r="C20" s="81"/>
      <c r="D20" s="81"/>
      <c r="E20" s="81"/>
    </row>
    <row r="21" spans="1:5" ht="23.25" customHeight="1">
      <c r="A21" s="79"/>
      <c r="B21" s="82" t="s">
        <v>24</v>
      </c>
      <c r="C21" s="81">
        <v>0</v>
      </c>
      <c r="D21" s="81">
        <v>0</v>
      </c>
      <c r="E21" s="81">
        <v>0</v>
      </c>
    </row>
    <row r="22" spans="1:5" ht="23.25" customHeight="1">
      <c r="A22" s="79"/>
      <c r="B22" s="83" t="s">
        <v>25</v>
      </c>
      <c r="C22" s="81">
        <v>0</v>
      </c>
      <c r="D22" s="81">
        <v>0</v>
      </c>
      <c r="E22" s="81">
        <v>0</v>
      </c>
    </row>
    <row r="23" spans="1:5" ht="23.25" customHeight="1">
      <c r="A23" s="79"/>
      <c r="B23" s="83" t="s">
        <v>79</v>
      </c>
      <c r="C23" s="81">
        <v>0</v>
      </c>
      <c r="D23" s="81">
        <v>0</v>
      </c>
      <c r="E23" s="81">
        <v>0</v>
      </c>
    </row>
    <row r="24" spans="1:5" ht="23.25" customHeight="1">
      <c r="A24" s="79"/>
      <c r="B24" s="83" t="s">
        <v>81</v>
      </c>
      <c r="C24" s="81">
        <v>0</v>
      </c>
      <c r="D24" s="81">
        <v>0</v>
      </c>
      <c r="E24" s="81">
        <v>0</v>
      </c>
    </row>
    <row r="25" spans="1:5" ht="23.25" customHeight="1">
      <c r="A25" s="79"/>
      <c r="B25" s="83" t="s">
        <v>80</v>
      </c>
      <c r="C25" s="81">
        <v>0</v>
      </c>
      <c r="D25" s="81">
        <v>0</v>
      </c>
      <c r="E25" s="81">
        <v>0</v>
      </c>
    </row>
    <row r="26" spans="1:5" ht="30" customHeight="1">
      <c r="A26" s="79"/>
      <c r="B26" s="80" t="s">
        <v>40</v>
      </c>
      <c r="C26" s="133">
        <f>SUM(C21:C25)</f>
        <v>0</v>
      </c>
      <c r="D26" s="133">
        <f>SUM(D21:D25)</f>
        <v>0</v>
      </c>
      <c r="E26" s="133">
        <f>SUM(E21:E25)</f>
        <v>0</v>
      </c>
    </row>
    <row r="27" spans="1:5" ht="15.75">
      <c r="A27" s="79" t="s">
        <v>147</v>
      </c>
      <c r="B27" s="80" t="s">
        <v>148</v>
      </c>
      <c r="C27" s="81"/>
      <c r="D27" s="81"/>
      <c r="E27" s="81"/>
    </row>
    <row r="28" spans="1:5" ht="23.25" customHeight="1">
      <c r="A28" s="79"/>
      <c r="B28" s="82" t="s">
        <v>24</v>
      </c>
      <c r="C28" s="81">
        <f aca="true" t="shared" si="1" ref="C28:E32">C7+C14-C21</f>
        <v>0.2505125</v>
      </c>
      <c r="D28" s="81">
        <f t="shared" si="1"/>
        <v>0.3005125</v>
      </c>
      <c r="E28" s="81">
        <f t="shared" si="1"/>
        <v>0.3505125</v>
      </c>
    </row>
    <row r="29" spans="1:5" ht="23.25" customHeight="1">
      <c r="A29" s="79"/>
      <c r="B29" s="83" t="s">
        <v>25</v>
      </c>
      <c r="C29" s="81">
        <f t="shared" si="1"/>
        <v>1.321725</v>
      </c>
      <c r="D29" s="81">
        <f t="shared" si="1"/>
        <v>1.521725</v>
      </c>
      <c r="E29" s="81">
        <f t="shared" si="1"/>
        <v>1.571725</v>
      </c>
    </row>
    <row r="30" spans="1:5" ht="23.25" customHeight="1">
      <c r="A30" s="79"/>
      <c r="B30" s="83" t="s">
        <v>79</v>
      </c>
      <c r="C30" s="81">
        <f t="shared" si="1"/>
        <v>0.2574915</v>
      </c>
      <c r="D30" s="81">
        <f t="shared" si="1"/>
        <v>0.2574915</v>
      </c>
      <c r="E30" s="81">
        <f t="shared" si="1"/>
        <v>0.5574915</v>
      </c>
    </row>
    <row r="31" spans="1:5" ht="23.25" customHeight="1">
      <c r="A31" s="79"/>
      <c r="B31" s="83" t="s">
        <v>81</v>
      </c>
      <c r="C31" s="81">
        <f t="shared" si="1"/>
        <v>0.1351158</v>
      </c>
      <c r="D31" s="81">
        <f t="shared" si="1"/>
        <v>0.1851158</v>
      </c>
      <c r="E31" s="81">
        <f t="shared" si="1"/>
        <v>0.23511579999999999</v>
      </c>
    </row>
    <row r="32" spans="1:5" ht="23.25" customHeight="1">
      <c r="A32" s="79"/>
      <c r="B32" s="83" t="s">
        <v>80</v>
      </c>
      <c r="C32" s="81">
        <f t="shared" si="1"/>
        <v>0.0209636</v>
      </c>
      <c r="D32" s="81">
        <f t="shared" si="1"/>
        <v>0.0709636</v>
      </c>
      <c r="E32" s="81">
        <f t="shared" si="1"/>
        <v>0.1209636</v>
      </c>
    </row>
    <row r="33" spans="1:5" ht="30" customHeight="1">
      <c r="A33" s="79"/>
      <c r="B33" s="80" t="s">
        <v>33</v>
      </c>
      <c r="C33" s="133">
        <f>SUM(C28:C32)</f>
        <v>1.9858083999999998</v>
      </c>
      <c r="D33" s="133">
        <f>SUM(D28:D32)</f>
        <v>2.3358084</v>
      </c>
      <c r="E33" s="133">
        <f>SUM(E28:E32)</f>
        <v>2.8358084</v>
      </c>
    </row>
    <row r="34" ht="15">
      <c r="C34" s="85"/>
    </row>
  </sheetData>
  <sheetProtection/>
  <mergeCells count="4">
    <mergeCell ref="A3:E3"/>
    <mergeCell ref="A1:E1"/>
    <mergeCell ref="A2:E2"/>
    <mergeCell ref="A4:E4"/>
  </mergeCells>
  <printOptions horizontalCentered="1"/>
  <pageMargins left="0.31496062992125984" right="0.1968503937007874" top="0.8661417322834646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&amp;L&amp;F-&amp;A&amp;Cpage&amp;P of &amp;P&amp;R&amp;D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.57421875" style="166" customWidth="1"/>
    <col min="2" max="2" width="46.421875" style="115" customWidth="1"/>
    <col min="3" max="7" width="10.140625" style="115" bestFit="1" customWidth="1"/>
    <col min="8" max="8" width="14.140625" style="115" bestFit="1" customWidth="1"/>
    <col min="9" max="9" width="9.140625" style="115" customWidth="1"/>
    <col min="10" max="10" width="12.421875" style="115" bestFit="1" customWidth="1"/>
    <col min="11" max="11" width="13.7109375" style="115" bestFit="1" customWidth="1"/>
    <col min="12" max="12" width="12.421875" style="115" bestFit="1" customWidth="1"/>
    <col min="13" max="16384" width="9.140625" style="115" customWidth="1"/>
  </cols>
  <sheetData>
    <row r="1" spans="1:8" s="159" customFormat="1" ht="15">
      <c r="A1" s="491" t="s">
        <v>354</v>
      </c>
      <c r="B1" s="491"/>
      <c r="C1" s="491"/>
      <c r="D1" s="491"/>
      <c r="E1" s="491"/>
      <c r="F1" s="491"/>
      <c r="G1" s="491"/>
      <c r="H1" s="491"/>
    </row>
    <row r="2" spans="1:8" s="159" customFormat="1" ht="17.25" customHeight="1">
      <c r="A2" s="492" t="s">
        <v>323</v>
      </c>
      <c r="B2" s="492"/>
      <c r="C2" s="492"/>
      <c r="D2" s="492"/>
      <c r="E2" s="492"/>
      <c r="F2" s="492"/>
      <c r="G2" s="492"/>
      <c r="H2" s="492"/>
    </row>
    <row r="3" spans="1:10" s="160" customFormat="1" ht="21.75" customHeight="1">
      <c r="A3" s="493" t="s">
        <v>355</v>
      </c>
      <c r="B3" s="493"/>
      <c r="C3" s="493"/>
      <c r="D3" s="493"/>
      <c r="E3" s="493"/>
      <c r="F3" s="493"/>
      <c r="G3" s="493"/>
      <c r="H3" s="493"/>
      <c r="I3" s="74"/>
      <c r="J3" s="74"/>
    </row>
    <row r="4" spans="1:8" s="162" customFormat="1" ht="14.25" customHeight="1">
      <c r="A4" s="161"/>
      <c r="B4" s="505" t="s">
        <v>325</v>
      </c>
      <c r="C4" s="505"/>
      <c r="D4" s="505"/>
      <c r="E4" s="505"/>
      <c r="F4" s="505"/>
      <c r="G4" s="505"/>
      <c r="H4" s="505"/>
    </row>
    <row r="5" spans="1:8" s="162" customFormat="1" ht="27.75" customHeight="1">
      <c r="A5" s="28" t="s">
        <v>37</v>
      </c>
      <c r="B5" s="28" t="s">
        <v>39</v>
      </c>
      <c r="C5" s="28" t="s">
        <v>120</v>
      </c>
      <c r="D5" s="28" t="s">
        <v>121</v>
      </c>
      <c r="E5" s="28" t="s">
        <v>122</v>
      </c>
      <c r="F5" s="28" t="s">
        <v>356</v>
      </c>
      <c r="G5" s="28" t="s">
        <v>7</v>
      </c>
      <c r="H5" s="28" t="s">
        <v>357</v>
      </c>
    </row>
    <row r="6" spans="1:8" s="419" customFormat="1" ht="12">
      <c r="A6" s="427">
        <v>1</v>
      </c>
      <c r="B6" s="427">
        <v>2</v>
      </c>
      <c r="C6" s="427">
        <v>3</v>
      </c>
      <c r="D6" s="427">
        <v>4</v>
      </c>
      <c r="E6" s="427">
        <v>5</v>
      </c>
      <c r="F6" s="427" t="s">
        <v>358</v>
      </c>
      <c r="G6" s="427">
        <v>7</v>
      </c>
      <c r="H6" s="427" t="s">
        <v>359</v>
      </c>
    </row>
    <row r="7" spans="1:8" ht="15.75" customHeight="1">
      <c r="A7" s="506" t="s">
        <v>637</v>
      </c>
      <c r="B7" s="507"/>
      <c r="C7" s="507"/>
      <c r="D7" s="507"/>
      <c r="E7" s="507"/>
      <c r="F7" s="507"/>
      <c r="G7" s="507"/>
      <c r="H7" s="508"/>
    </row>
    <row r="8" spans="1:8" ht="21" customHeight="1">
      <c r="A8" s="75" t="s">
        <v>115</v>
      </c>
      <c r="B8" s="163" t="s">
        <v>360</v>
      </c>
      <c r="C8" s="164"/>
      <c r="D8" s="165"/>
      <c r="E8" s="165"/>
      <c r="F8" s="164"/>
      <c r="G8" s="165"/>
      <c r="H8" s="164"/>
    </row>
    <row r="9" spans="1:8" ht="21" customHeight="1">
      <c r="A9" s="76"/>
      <c r="B9" s="425" t="s">
        <v>621</v>
      </c>
      <c r="C9" s="338">
        <f>584.4551999947-C10</f>
        <v>319.3951999947</v>
      </c>
      <c r="D9" s="338">
        <f>596.5103000297-D10</f>
        <v>271.56030002970004</v>
      </c>
      <c r="E9" s="338">
        <v>143.27250002469998</v>
      </c>
      <c r="F9" s="339">
        <f>C9+D9+E9</f>
        <v>734.2280000491</v>
      </c>
      <c r="G9" s="338">
        <v>47.8</v>
      </c>
      <c r="H9" s="338">
        <f>F9+G9</f>
        <v>782.0280000491</v>
      </c>
    </row>
    <row r="10" spans="1:8" ht="21" customHeight="1">
      <c r="A10" s="76"/>
      <c r="B10" s="425" t="s">
        <v>640</v>
      </c>
      <c r="C10" s="338">
        <v>265.06</v>
      </c>
      <c r="D10" s="338">
        <v>324.95</v>
      </c>
      <c r="E10" s="338">
        <v>0</v>
      </c>
      <c r="F10" s="339">
        <f>C10+D10+E10</f>
        <v>590.01</v>
      </c>
      <c r="G10" s="338">
        <v>0</v>
      </c>
      <c r="H10" s="338">
        <f>F10+G10</f>
        <v>590.01</v>
      </c>
    </row>
    <row r="11" spans="1:8" ht="21" customHeight="1">
      <c r="A11" s="76"/>
      <c r="B11" s="425" t="s">
        <v>622</v>
      </c>
      <c r="C11" s="338">
        <v>210.48000000000002</v>
      </c>
      <c r="D11" s="338">
        <v>53.739999999999995</v>
      </c>
      <c r="E11" s="338">
        <v>5.52</v>
      </c>
      <c r="F11" s="339">
        <v>269.74</v>
      </c>
      <c r="G11" s="338">
        <v>20.860000000000007</v>
      </c>
      <c r="H11" s="338">
        <f>F11+G11</f>
        <v>290.6</v>
      </c>
    </row>
    <row r="12" spans="1:8" ht="21" customHeight="1">
      <c r="A12" s="76"/>
      <c r="B12" s="425" t="s">
        <v>623</v>
      </c>
      <c r="C12" s="340">
        <v>142.22000000530002</v>
      </c>
      <c r="D12" s="340">
        <v>115.8099999703</v>
      </c>
      <c r="E12" s="340">
        <v>135.5499999753</v>
      </c>
      <c r="F12" s="339">
        <v>393.57999995090006</v>
      </c>
      <c r="G12" s="340">
        <v>331.03</v>
      </c>
      <c r="H12" s="338">
        <f>F12+G12</f>
        <v>724.6099999509</v>
      </c>
    </row>
    <row r="13" spans="1:12" s="117" customFormat="1" ht="21" customHeight="1">
      <c r="A13" s="75"/>
      <c r="B13" s="163" t="s">
        <v>259</v>
      </c>
      <c r="C13" s="341">
        <f aca="true" t="shared" si="0" ref="C13:H13">SUM(C9:C12)</f>
        <v>937.1552</v>
      </c>
      <c r="D13" s="341">
        <f t="shared" si="0"/>
        <v>766.0603000000001</v>
      </c>
      <c r="E13" s="341">
        <f t="shared" si="0"/>
        <v>284.3425</v>
      </c>
      <c r="F13" s="341">
        <f t="shared" si="0"/>
        <v>1987.558</v>
      </c>
      <c r="G13" s="341">
        <f t="shared" si="0"/>
        <v>399.68999999999994</v>
      </c>
      <c r="H13" s="341">
        <f t="shared" si="0"/>
        <v>2387.248</v>
      </c>
      <c r="I13" s="115"/>
      <c r="J13" s="115"/>
      <c r="K13" s="115"/>
      <c r="L13" s="115"/>
    </row>
    <row r="14" spans="1:8" ht="21" customHeight="1">
      <c r="A14" s="75" t="s">
        <v>116</v>
      </c>
      <c r="B14" s="388" t="s">
        <v>624</v>
      </c>
      <c r="C14" s="342"/>
      <c r="D14" s="342"/>
      <c r="E14" s="342"/>
      <c r="F14" s="342"/>
      <c r="G14" s="343"/>
      <c r="H14" s="343"/>
    </row>
    <row r="15" spans="1:8" ht="21" customHeight="1">
      <c r="A15" s="75"/>
      <c r="B15" s="425" t="s">
        <v>625</v>
      </c>
      <c r="C15" s="338">
        <v>37.2128022</v>
      </c>
      <c r="D15" s="338">
        <v>80.47763950000001</v>
      </c>
      <c r="E15" s="338">
        <v>35.161798800000014</v>
      </c>
      <c r="F15" s="339">
        <v>152.85224050000002</v>
      </c>
      <c r="G15" s="338">
        <v>488.66657580000003</v>
      </c>
      <c r="H15" s="338">
        <f aca="true" t="shared" si="1" ref="H15:H25">F15+G15</f>
        <v>641.5188163</v>
      </c>
    </row>
    <row r="16" spans="1:8" ht="21" customHeight="1">
      <c r="A16" s="75"/>
      <c r="B16" s="425" t="s">
        <v>626</v>
      </c>
      <c r="C16" s="338">
        <v>198.7714608</v>
      </c>
      <c r="D16" s="338">
        <v>135.68693589999998</v>
      </c>
      <c r="E16" s="338">
        <v>192.79430969999999</v>
      </c>
      <c r="F16" s="339">
        <v>527.2527064</v>
      </c>
      <c r="G16" s="338">
        <v>470.4758611</v>
      </c>
      <c r="H16" s="338">
        <f t="shared" si="1"/>
        <v>997.7285674999999</v>
      </c>
    </row>
    <row r="17" spans="1:8" ht="21" customHeight="1">
      <c r="A17" s="75"/>
      <c r="B17" s="425" t="s">
        <v>627</v>
      </c>
      <c r="C17" s="338">
        <v>58.72</v>
      </c>
      <c r="D17" s="338">
        <v>87.2041692</v>
      </c>
      <c r="E17" s="338">
        <v>32.02</v>
      </c>
      <c r="F17" s="339">
        <v>177.9441692</v>
      </c>
      <c r="G17" s="338">
        <v>526.4057386</v>
      </c>
      <c r="H17" s="338">
        <f t="shared" si="1"/>
        <v>704.3499078</v>
      </c>
    </row>
    <row r="18" spans="1:8" ht="21" customHeight="1">
      <c r="A18" s="75"/>
      <c r="B18" s="163" t="s">
        <v>225</v>
      </c>
      <c r="C18" s="341">
        <f>SUM(C15:C17)</f>
        <v>294.70426299999997</v>
      </c>
      <c r="D18" s="341">
        <f>SUM(D15:D17)</f>
        <v>303.3687446</v>
      </c>
      <c r="E18" s="341">
        <f>SUM(E15:E17)</f>
        <v>259.9761085</v>
      </c>
      <c r="F18" s="341">
        <f>SUM(F15:F17)</f>
        <v>858.0491161</v>
      </c>
      <c r="G18" s="341">
        <f>SUM(G15:G17)</f>
        <v>1485.5481755</v>
      </c>
      <c r="H18" s="339">
        <f t="shared" si="1"/>
        <v>2343.5972916</v>
      </c>
    </row>
    <row r="19" spans="1:8" ht="21" customHeight="1">
      <c r="A19" s="75" t="s">
        <v>28</v>
      </c>
      <c r="B19" s="389" t="s">
        <v>628</v>
      </c>
      <c r="C19" s="390">
        <f aca="true" t="shared" si="2" ref="C19:H19">C13+C18</f>
        <v>1231.859463</v>
      </c>
      <c r="D19" s="390">
        <f t="shared" si="2"/>
        <v>1069.4290446</v>
      </c>
      <c r="E19" s="390">
        <f t="shared" si="2"/>
        <v>544.3186085</v>
      </c>
      <c r="F19" s="390">
        <f t="shared" si="2"/>
        <v>2845.6071161</v>
      </c>
      <c r="G19" s="390">
        <f t="shared" si="2"/>
        <v>1885.2381755000001</v>
      </c>
      <c r="H19" s="390">
        <f t="shared" si="2"/>
        <v>4730.845291600001</v>
      </c>
    </row>
    <row r="20" spans="1:8" s="117" customFormat="1" ht="21" customHeight="1">
      <c r="A20" s="396" t="s">
        <v>27</v>
      </c>
      <c r="B20" s="388" t="s">
        <v>629</v>
      </c>
      <c r="C20" s="339"/>
      <c r="D20" s="339"/>
      <c r="E20" s="339"/>
      <c r="F20" s="339"/>
      <c r="G20" s="339"/>
      <c r="H20" s="339"/>
    </row>
    <row r="21" spans="1:8" s="424" customFormat="1" ht="15.75" customHeight="1">
      <c r="A21" s="392" t="s">
        <v>630</v>
      </c>
      <c r="B21" s="425" t="s">
        <v>631</v>
      </c>
      <c r="C21" s="421">
        <v>0</v>
      </c>
      <c r="D21" s="421">
        <v>50</v>
      </c>
      <c r="E21" s="421">
        <v>130</v>
      </c>
      <c r="F21" s="422">
        <v>180</v>
      </c>
      <c r="G21" s="421">
        <v>0</v>
      </c>
      <c r="H21" s="423">
        <f t="shared" si="1"/>
        <v>180</v>
      </c>
    </row>
    <row r="22" spans="1:8" s="424" customFormat="1" ht="15.75" customHeight="1">
      <c r="A22" s="392" t="s">
        <v>632</v>
      </c>
      <c r="B22" s="425" t="s">
        <v>72</v>
      </c>
      <c r="C22" s="423">
        <v>0</v>
      </c>
      <c r="D22" s="423">
        <v>0</v>
      </c>
      <c r="E22" s="422">
        <v>16.45</v>
      </c>
      <c r="F22" s="422">
        <v>16.45</v>
      </c>
      <c r="G22" s="420">
        <v>0</v>
      </c>
      <c r="H22" s="423">
        <f t="shared" si="1"/>
        <v>16.45</v>
      </c>
    </row>
    <row r="23" spans="1:8" ht="15.75" customHeight="1">
      <c r="A23" s="392"/>
      <c r="B23" s="393" t="s">
        <v>31</v>
      </c>
      <c r="C23" s="339">
        <f>SUM(C21:C22)</f>
        <v>0</v>
      </c>
      <c r="D23" s="339">
        <f>SUM(D21:D22)</f>
        <v>50</v>
      </c>
      <c r="E23" s="339">
        <f>SUM(E21:E22)</f>
        <v>146.45</v>
      </c>
      <c r="F23" s="339">
        <f>SUM(F21:F22)</f>
        <v>196.45</v>
      </c>
      <c r="G23" s="339">
        <f>SUM(G21:G22)</f>
        <v>0</v>
      </c>
      <c r="H23" s="339">
        <f t="shared" si="1"/>
        <v>196.45</v>
      </c>
    </row>
    <row r="24" spans="1:8" ht="21" customHeight="1">
      <c r="A24" s="391" t="s">
        <v>29</v>
      </c>
      <c r="B24" s="394" t="s">
        <v>633</v>
      </c>
      <c r="C24" s="339">
        <v>12.1</v>
      </c>
      <c r="D24" s="339">
        <v>6.74</v>
      </c>
      <c r="E24" s="339">
        <v>29.91</v>
      </c>
      <c r="F24" s="339">
        <v>48.75</v>
      </c>
      <c r="G24" s="339">
        <v>118.8482775</v>
      </c>
      <c r="H24" s="339">
        <f t="shared" si="1"/>
        <v>167.5982775</v>
      </c>
    </row>
    <row r="25" spans="1:8" ht="21" customHeight="1">
      <c r="A25" s="391" t="s">
        <v>30</v>
      </c>
      <c r="B25" s="395" t="s">
        <v>361</v>
      </c>
      <c r="C25" s="339">
        <v>0</v>
      </c>
      <c r="D25" s="339">
        <v>0</v>
      </c>
      <c r="E25" s="339">
        <v>0</v>
      </c>
      <c r="F25" s="339">
        <v>0</v>
      </c>
      <c r="G25" s="339">
        <v>174</v>
      </c>
      <c r="H25" s="339">
        <f t="shared" si="1"/>
        <v>174</v>
      </c>
    </row>
    <row r="26" spans="1:8" ht="21" customHeight="1">
      <c r="A26" s="396" t="s">
        <v>131</v>
      </c>
      <c r="B26" s="397" t="s">
        <v>634</v>
      </c>
      <c r="C26" s="398">
        <f aca="true" t="shared" si="3" ref="C26:H26">C19+C23+C24+C25</f>
        <v>1243.959463</v>
      </c>
      <c r="D26" s="398">
        <f t="shared" si="3"/>
        <v>1126.1690446</v>
      </c>
      <c r="E26" s="398">
        <f t="shared" si="3"/>
        <v>720.6786085</v>
      </c>
      <c r="F26" s="398">
        <f t="shared" si="3"/>
        <v>3090.8071161</v>
      </c>
      <c r="G26" s="398">
        <f t="shared" si="3"/>
        <v>2178.086453</v>
      </c>
      <c r="H26" s="343">
        <f t="shared" si="3"/>
        <v>5268.893569100001</v>
      </c>
    </row>
    <row r="27" spans="1:8" ht="15.75" customHeight="1">
      <c r="A27" s="506" t="s">
        <v>638</v>
      </c>
      <c r="B27" s="507"/>
      <c r="C27" s="507"/>
      <c r="D27" s="507"/>
      <c r="E27" s="507"/>
      <c r="F27" s="507"/>
      <c r="G27" s="507"/>
      <c r="H27" s="508"/>
    </row>
    <row r="28" spans="1:8" ht="19.5" customHeight="1">
      <c r="A28" s="75" t="s">
        <v>115</v>
      </c>
      <c r="B28" s="163" t="s">
        <v>360</v>
      </c>
      <c r="C28" s="164"/>
      <c r="D28" s="165"/>
      <c r="E28" s="165"/>
      <c r="F28" s="164"/>
      <c r="G28" s="165"/>
      <c r="H28" s="164"/>
    </row>
    <row r="29" spans="1:8" ht="26.25">
      <c r="A29" s="75"/>
      <c r="B29" s="426" t="s">
        <v>639</v>
      </c>
      <c r="C29" s="428">
        <v>11.82</v>
      </c>
      <c r="D29" s="428">
        <v>7.01</v>
      </c>
      <c r="E29" s="428">
        <v>62.41</v>
      </c>
      <c r="F29" s="412">
        <f>C29+D29+E29</f>
        <v>81.24</v>
      </c>
      <c r="G29" s="428">
        <v>5.67</v>
      </c>
      <c r="H29" s="339">
        <f>F29+G29</f>
        <v>86.91</v>
      </c>
    </row>
    <row r="30" spans="1:8" ht="19.5" customHeight="1">
      <c r="A30" s="75"/>
      <c r="B30" s="425" t="s">
        <v>621</v>
      </c>
      <c r="C30" s="413">
        <f>282.4451999947-C31</f>
        <v>17.385199994699974</v>
      </c>
      <c r="D30" s="413">
        <f>382.8203000297-D31</f>
        <v>57.87030002969999</v>
      </c>
      <c r="E30" s="413">
        <v>92.04250002469999</v>
      </c>
      <c r="F30" s="412">
        <f>C30+D30+E30</f>
        <v>167.29800004909995</v>
      </c>
      <c r="G30" s="414">
        <v>0</v>
      </c>
      <c r="H30" s="339">
        <f>F30+G30</f>
        <v>167.29800004909995</v>
      </c>
    </row>
    <row r="31" spans="1:8" ht="19.5" customHeight="1">
      <c r="A31" s="75"/>
      <c r="B31" s="425" t="s">
        <v>640</v>
      </c>
      <c r="C31" s="413">
        <f>C10</f>
        <v>265.06</v>
      </c>
      <c r="D31" s="413">
        <f>D10</f>
        <v>324.95</v>
      </c>
      <c r="E31" s="413">
        <v>0</v>
      </c>
      <c r="F31" s="412">
        <f>C31+D31+E31</f>
        <v>590.01</v>
      </c>
      <c r="G31" s="414">
        <v>0</v>
      </c>
      <c r="H31" s="339">
        <f>F31+G31</f>
        <v>590.01</v>
      </c>
    </row>
    <row r="32" spans="1:8" ht="19.5" customHeight="1">
      <c r="A32" s="76"/>
      <c r="B32" s="425" t="s">
        <v>622</v>
      </c>
      <c r="C32" s="413">
        <v>210.48000000000002</v>
      </c>
      <c r="D32" s="413">
        <v>53.739999999999995</v>
      </c>
      <c r="E32" s="413">
        <v>5.52</v>
      </c>
      <c r="F32" s="412">
        <f>C32+D32+E32</f>
        <v>269.74</v>
      </c>
      <c r="G32" s="415">
        <v>0</v>
      </c>
      <c r="H32" s="339">
        <f>F32+G32</f>
        <v>269.74</v>
      </c>
    </row>
    <row r="33" spans="1:8" ht="19.5" customHeight="1">
      <c r="A33" s="76"/>
      <c r="B33" s="425" t="s">
        <v>623</v>
      </c>
      <c r="C33" s="413">
        <v>142.22000000530002</v>
      </c>
      <c r="D33" s="413">
        <v>115.8099999703</v>
      </c>
      <c r="E33" s="413">
        <v>135.5499999753</v>
      </c>
      <c r="F33" s="412">
        <f>C33+D33+E33</f>
        <v>393.57999995090006</v>
      </c>
      <c r="G33" s="413">
        <v>331.03</v>
      </c>
      <c r="H33" s="339">
        <f>F33+G33</f>
        <v>724.6099999509</v>
      </c>
    </row>
    <row r="34" spans="1:8" s="117" customFormat="1" ht="19.5" customHeight="1">
      <c r="A34" s="75"/>
      <c r="B34" s="163" t="s">
        <v>259</v>
      </c>
      <c r="C34" s="336">
        <f aca="true" t="shared" si="4" ref="C34:H34">SUM(C29:C33)</f>
        <v>646.9652</v>
      </c>
      <c r="D34" s="336">
        <f t="shared" si="4"/>
        <v>559.3803</v>
      </c>
      <c r="E34" s="336">
        <f t="shared" si="4"/>
        <v>295.52250000000004</v>
      </c>
      <c r="F34" s="336">
        <f t="shared" si="4"/>
        <v>1501.868</v>
      </c>
      <c r="G34" s="336">
        <f t="shared" si="4"/>
        <v>336.7</v>
      </c>
      <c r="H34" s="336">
        <f t="shared" si="4"/>
        <v>1838.5680000000002</v>
      </c>
    </row>
    <row r="35" spans="1:8" ht="19.5" customHeight="1">
      <c r="A35" s="75" t="s">
        <v>116</v>
      </c>
      <c r="B35" s="388" t="s">
        <v>624</v>
      </c>
      <c r="C35" s="165"/>
      <c r="D35" s="165"/>
      <c r="E35" s="165"/>
      <c r="F35" s="165"/>
      <c r="G35" s="164"/>
      <c r="H35" s="164"/>
    </row>
    <row r="36" spans="1:8" ht="19.5" customHeight="1">
      <c r="A36" s="75"/>
      <c r="B36" s="425" t="s">
        <v>625</v>
      </c>
      <c r="C36" s="334">
        <v>37.2128022</v>
      </c>
      <c r="D36" s="334">
        <v>80.47763950000001</v>
      </c>
      <c r="E36" s="334">
        <v>35.161798800000014</v>
      </c>
      <c r="F36" s="339">
        <v>152.85224050000002</v>
      </c>
      <c r="G36" s="334">
        <v>230.37227580000007</v>
      </c>
      <c r="H36" s="338">
        <f>F36+G36</f>
        <v>383.2245163000001</v>
      </c>
    </row>
    <row r="37" spans="1:8" ht="19.5" customHeight="1">
      <c r="A37" s="75"/>
      <c r="B37" s="425" t="s">
        <v>626</v>
      </c>
      <c r="C37" s="334">
        <v>198.7714608</v>
      </c>
      <c r="D37" s="334">
        <v>135.68693589999998</v>
      </c>
      <c r="E37" s="334">
        <v>192.79430969999999</v>
      </c>
      <c r="F37" s="339">
        <v>527.2527064</v>
      </c>
      <c r="G37" s="334">
        <v>470.4758611</v>
      </c>
      <c r="H37" s="338">
        <f>F37+G37</f>
        <v>997.7285674999999</v>
      </c>
    </row>
    <row r="38" spans="1:8" ht="19.5" customHeight="1">
      <c r="A38" s="75"/>
      <c r="B38" s="425" t="s">
        <v>627</v>
      </c>
      <c r="C38" s="334">
        <v>58.72</v>
      </c>
      <c r="D38" s="334">
        <v>87.2041692</v>
      </c>
      <c r="E38" s="334">
        <v>32.02</v>
      </c>
      <c r="F38" s="339">
        <v>177.9441692</v>
      </c>
      <c r="G38" s="334">
        <v>526.4057386</v>
      </c>
      <c r="H38" s="338">
        <f>F38+G38</f>
        <v>704.3499078</v>
      </c>
    </row>
    <row r="39" spans="1:8" ht="19.5" customHeight="1">
      <c r="A39" s="75"/>
      <c r="B39" s="163" t="s">
        <v>225</v>
      </c>
      <c r="C39" s="335">
        <f aca="true" t="shared" si="5" ref="C39:H39">SUM(C36:C38)</f>
        <v>294.70426299999997</v>
      </c>
      <c r="D39" s="335">
        <f t="shared" si="5"/>
        <v>303.3687446</v>
      </c>
      <c r="E39" s="335">
        <f t="shared" si="5"/>
        <v>259.9761085</v>
      </c>
      <c r="F39" s="335">
        <f t="shared" si="5"/>
        <v>858.0491161</v>
      </c>
      <c r="G39" s="335">
        <f t="shared" si="5"/>
        <v>1227.2538755</v>
      </c>
      <c r="H39" s="335">
        <f t="shared" si="5"/>
        <v>2085.3029916</v>
      </c>
    </row>
    <row r="40" spans="1:8" ht="19.5" customHeight="1">
      <c r="A40" s="75" t="s">
        <v>28</v>
      </c>
      <c r="B40" s="163" t="s">
        <v>628</v>
      </c>
      <c r="C40" s="335">
        <v>941.6694630000001</v>
      </c>
      <c r="D40" s="335">
        <v>862.7490445999999</v>
      </c>
      <c r="E40" s="335">
        <v>555.4986085</v>
      </c>
      <c r="F40" s="335">
        <v>2359.9171161</v>
      </c>
      <c r="G40" s="335">
        <v>1563.9538755</v>
      </c>
      <c r="H40" s="335">
        <v>3923.8709916</v>
      </c>
    </row>
    <row r="41" spans="1:8" ht="19.5" customHeight="1">
      <c r="A41" s="391" t="s">
        <v>27</v>
      </c>
      <c r="B41" s="387" t="s">
        <v>629</v>
      </c>
      <c r="C41" s="335"/>
      <c r="D41" s="335"/>
      <c r="E41" s="335"/>
      <c r="F41" s="335">
        <v>0</v>
      </c>
      <c r="G41" s="335"/>
      <c r="H41" s="335">
        <v>0</v>
      </c>
    </row>
    <row r="42" spans="1:8" ht="19.5" customHeight="1">
      <c r="A42" s="392" t="s">
        <v>630</v>
      </c>
      <c r="B42" s="425" t="s">
        <v>631</v>
      </c>
      <c r="C42" s="416">
        <v>0</v>
      </c>
      <c r="D42" s="416">
        <v>50</v>
      </c>
      <c r="E42" s="416">
        <v>130</v>
      </c>
      <c r="F42" s="416">
        <v>180</v>
      </c>
      <c r="G42" s="416">
        <v>0</v>
      </c>
      <c r="H42" s="335">
        <v>180</v>
      </c>
    </row>
    <row r="43" spans="1:8" ht="19.5" customHeight="1">
      <c r="A43" s="392" t="s">
        <v>632</v>
      </c>
      <c r="B43" s="425" t="s">
        <v>72</v>
      </c>
      <c r="C43" s="416">
        <v>0</v>
      </c>
      <c r="D43" s="416">
        <v>0</v>
      </c>
      <c r="E43" s="416">
        <v>16.45</v>
      </c>
      <c r="F43" s="416">
        <v>16.45</v>
      </c>
      <c r="G43" s="416">
        <v>0</v>
      </c>
      <c r="H43" s="335">
        <v>16.45</v>
      </c>
    </row>
    <row r="44" spans="1:8" ht="19.5" customHeight="1">
      <c r="A44" s="75"/>
      <c r="B44" s="163" t="s">
        <v>31</v>
      </c>
      <c r="C44" s="335">
        <v>0</v>
      </c>
      <c r="D44" s="335">
        <v>50</v>
      </c>
      <c r="E44" s="335">
        <v>146.45</v>
      </c>
      <c r="F44" s="335">
        <v>196.45</v>
      </c>
      <c r="G44" s="335">
        <v>0</v>
      </c>
      <c r="H44" s="335">
        <v>196.45</v>
      </c>
    </row>
    <row r="45" spans="1:8" ht="19.5" customHeight="1">
      <c r="A45" s="391" t="s">
        <v>29</v>
      </c>
      <c r="B45" s="417" t="s">
        <v>633</v>
      </c>
      <c r="C45" s="416">
        <v>12.1</v>
      </c>
      <c r="D45" s="416">
        <v>6.74</v>
      </c>
      <c r="E45" s="416">
        <v>29.91</v>
      </c>
      <c r="F45" s="416">
        <v>48.75</v>
      </c>
      <c r="G45" s="416">
        <v>118.8482775</v>
      </c>
      <c r="H45" s="337">
        <f>F45+G45</f>
        <v>167.5982775</v>
      </c>
    </row>
    <row r="46" spans="1:8" ht="19.5" customHeight="1">
      <c r="A46" s="391" t="s">
        <v>30</v>
      </c>
      <c r="B46" s="395" t="s">
        <v>361</v>
      </c>
      <c r="C46" s="416">
        <v>0</v>
      </c>
      <c r="D46" s="416">
        <v>0</v>
      </c>
      <c r="E46" s="416">
        <v>0</v>
      </c>
      <c r="F46" s="416">
        <v>0</v>
      </c>
      <c r="G46" s="416">
        <v>174</v>
      </c>
      <c r="H46" s="337">
        <f>F46+G46</f>
        <v>174</v>
      </c>
    </row>
    <row r="47" spans="1:8" s="386" customFormat="1" ht="15.75">
      <c r="A47" s="418" t="s">
        <v>131</v>
      </c>
      <c r="B47" s="397" t="s">
        <v>634</v>
      </c>
      <c r="C47" s="398">
        <f aca="true" t="shared" si="6" ref="C47:H47">C46+C45+C44+C40</f>
        <v>953.7694630000001</v>
      </c>
      <c r="D47" s="398">
        <f t="shared" si="6"/>
        <v>919.4890445999999</v>
      </c>
      <c r="E47" s="398">
        <f t="shared" si="6"/>
        <v>731.8586085000001</v>
      </c>
      <c r="F47" s="398">
        <f t="shared" si="6"/>
        <v>2605.1171160999997</v>
      </c>
      <c r="G47" s="398">
        <f t="shared" si="6"/>
        <v>1856.802153</v>
      </c>
      <c r="H47" s="398">
        <f t="shared" si="6"/>
        <v>4461.9192691</v>
      </c>
    </row>
    <row r="48" spans="1:8" ht="17.25" customHeight="1">
      <c r="A48" s="504" t="s">
        <v>635</v>
      </c>
      <c r="B48" s="504"/>
      <c r="C48" s="504"/>
      <c r="D48" s="504"/>
      <c r="E48" s="504"/>
      <c r="F48" s="504"/>
      <c r="G48" s="504"/>
      <c r="H48" s="504"/>
    </row>
  </sheetData>
  <sheetProtection/>
  <mergeCells count="7">
    <mergeCell ref="A48:H48"/>
    <mergeCell ref="A1:H1"/>
    <mergeCell ref="A2:H2"/>
    <mergeCell ref="A3:H3"/>
    <mergeCell ref="B4:H4"/>
    <mergeCell ref="A7:H7"/>
    <mergeCell ref="A27:H27"/>
  </mergeCells>
  <printOptions/>
  <pageMargins left="0.7086614173228347" right="0.2755905511811024" top="0.36" bottom="0.4" header="0.31496062992125984" footer="0.19"/>
  <pageSetup fitToHeight="1" fitToWidth="1" horizontalDpi="600" verticalDpi="600" orientation="portrait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xSplit="2" ySplit="4" topLeftCell="H1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4" sqref="L124"/>
    </sheetView>
  </sheetViews>
  <sheetFormatPr defaultColWidth="10.57421875" defaultRowHeight="12.75"/>
  <cols>
    <col min="1" max="1" width="3.57421875" style="177" customWidth="1"/>
    <col min="2" max="2" width="31.57421875" style="177" customWidth="1"/>
    <col min="3" max="3" width="10.28125" style="187" customWidth="1"/>
    <col min="4" max="4" width="9.28125" style="177" customWidth="1"/>
    <col min="5" max="5" width="8.421875" style="187" customWidth="1"/>
    <col min="6" max="6" width="10.28125" style="187" customWidth="1"/>
    <col min="7" max="7" width="13.7109375" style="187" bestFit="1" customWidth="1"/>
    <col min="8" max="8" width="9.57421875" style="269" customWidth="1"/>
    <col min="9" max="9" width="14.7109375" style="177" bestFit="1" customWidth="1"/>
    <col min="10" max="10" width="9.28125" style="177" customWidth="1"/>
    <col min="11" max="11" width="9.00390625" style="177" customWidth="1"/>
    <col min="12" max="12" width="10.28125" style="177" customWidth="1"/>
    <col min="13" max="13" width="9.28125" style="177" customWidth="1"/>
    <col min="14" max="14" width="8.421875" style="177" customWidth="1"/>
    <col min="15" max="15" width="14.8515625" style="177" bestFit="1" customWidth="1"/>
    <col min="16" max="16" width="13.28125" style="177" bestFit="1" customWidth="1"/>
    <col min="17" max="17" width="11.7109375" style="206" bestFit="1" customWidth="1"/>
    <col min="18" max="18" width="10.57421875" style="177" customWidth="1"/>
    <col min="19" max="19" width="10.7109375" style="177" bestFit="1" customWidth="1"/>
    <col min="20" max="16384" width="10.57421875" style="177" customWidth="1"/>
  </cols>
  <sheetData>
    <row r="1" spans="1:17" s="170" customFormat="1" ht="18" customHeight="1">
      <c r="A1" s="167" t="s">
        <v>368</v>
      </c>
      <c r="B1" s="168"/>
      <c r="C1" s="169"/>
      <c r="E1" s="169"/>
      <c r="F1" s="169"/>
      <c r="G1" s="169"/>
      <c r="H1" s="265"/>
      <c r="Q1" s="171"/>
    </row>
    <row r="2" spans="1:17" s="172" customFormat="1" ht="25.5" customHeight="1">
      <c r="A2" s="510" t="s">
        <v>37</v>
      </c>
      <c r="B2" s="510" t="s">
        <v>369</v>
      </c>
      <c r="C2" s="509" t="s">
        <v>565</v>
      </c>
      <c r="D2" s="509"/>
      <c r="E2" s="509"/>
      <c r="F2" s="512" t="s">
        <v>566</v>
      </c>
      <c r="G2" s="512"/>
      <c r="H2" s="512"/>
      <c r="I2" s="513" t="s">
        <v>567</v>
      </c>
      <c r="J2" s="513"/>
      <c r="K2" s="513"/>
      <c r="L2" s="513" t="s">
        <v>568</v>
      </c>
      <c r="M2" s="513"/>
      <c r="N2" s="513"/>
      <c r="O2" s="509" t="s">
        <v>569</v>
      </c>
      <c r="P2" s="509"/>
      <c r="Q2" s="509"/>
    </row>
    <row r="3" spans="1:17" ht="16.5" customHeight="1">
      <c r="A3" s="511"/>
      <c r="B3" s="511"/>
      <c r="C3" s="173" t="s">
        <v>370</v>
      </c>
      <c r="D3" s="174" t="s">
        <v>123</v>
      </c>
      <c r="E3" s="173" t="s">
        <v>371</v>
      </c>
      <c r="F3" s="173" t="s">
        <v>370</v>
      </c>
      <c r="G3" s="266" t="s">
        <v>123</v>
      </c>
      <c r="H3" s="267" t="s">
        <v>371</v>
      </c>
      <c r="I3" s="175" t="s">
        <v>370</v>
      </c>
      <c r="J3" s="174" t="s">
        <v>123</v>
      </c>
      <c r="K3" s="175" t="s">
        <v>371</v>
      </c>
      <c r="L3" s="175" t="s">
        <v>370</v>
      </c>
      <c r="M3" s="174" t="s">
        <v>123</v>
      </c>
      <c r="N3" s="175" t="s">
        <v>371</v>
      </c>
      <c r="O3" s="175" t="s">
        <v>370</v>
      </c>
      <c r="P3" s="174" t="s">
        <v>123</v>
      </c>
      <c r="Q3" s="176" t="s">
        <v>371</v>
      </c>
    </row>
    <row r="4" spans="1:17" ht="12" customHeight="1">
      <c r="A4" s="178"/>
      <c r="B4" s="179" t="s">
        <v>372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80"/>
    </row>
    <row r="5" spans="1:17" s="187" customFormat="1" ht="12" customHeight="1">
      <c r="A5" s="181" t="s">
        <v>115</v>
      </c>
      <c r="B5" s="182" t="s">
        <v>373</v>
      </c>
      <c r="C5" s="183"/>
      <c r="D5" s="184"/>
      <c r="E5" s="185"/>
      <c r="F5" s="185"/>
      <c r="G5" s="185"/>
      <c r="H5" s="186"/>
      <c r="I5" s="185"/>
      <c r="J5" s="185"/>
      <c r="K5" s="185"/>
      <c r="L5" s="185"/>
      <c r="M5" s="185"/>
      <c r="N5" s="185"/>
      <c r="O5" s="185"/>
      <c r="P5" s="185"/>
      <c r="Q5" s="186"/>
    </row>
    <row r="6" spans="1:17" s="187" customFormat="1" ht="12" customHeight="1">
      <c r="A6" s="188"/>
      <c r="B6" s="189" t="s">
        <v>374</v>
      </c>
      <c r="C6" s="270">
        <f>669.359+295.201</f>
        <v>964.5600000000001</v>
      </c>
      <c r="D6" s="270">
        <f>61.52+20.9</f>
        <v>82.42</v>
      </c>
      <c r="E6" s="264">
        <f aca="true" t="shared" si="0" ref="E6:E13">D6/C6*10</f>
        <v>0.8544828730198224</v>
      </c>
      <c r="F6" s="264">
        <f>308.351+137.859</f>
        <v>446.21000000000004</v>
      </c>
      <c r="G6" s="264">
        <f>36.095+7.847</f>
        <v>43.942</v>
      </c>
      <c r="H6" s="264">
        <f aca="true" t="shared" si="1" ref="H6:H11">G6/F6*10</f>
        <v>0.9847829497321887</v>
      </c>
      <c r="I6" s="264">
        <f aca="true" t="shared" si="2" ref="I6:I11">F6*0.75</f>
        <v>334.6575</v>
      </c>
      <c r="J6" s="264">
        <f aca="true" t="shared" si="3" ref="J6:J11">(H6*I6/10)*1.25</f>
        <v>41.195625</v>
      </c>
      <c r="K6" s="264">
        <f aca="true" t="shared" si="4" ref="K6:K11">J6/I6*10</f>
        <v>1.230978687165236</v>
      </c>
      <c r="L6" s="264">
        <f aca="true" t="shared" si="5" ref="L6:M11">F6+I6</f>
        <v>780.8675000000001</v>
      </c>
      <c r="M6" s="264">
        <f t="shared" si="5"/>
        <v>85.137625</v>
      </c>
      <c r="N6" s="264">
        <f aca="true" t="shared" si="6" ref="N6:N13">M6/L6*10</f>
        <v>1.0902954086320662</v>
      </c>
      <c r="O6" s="358">
        <f>662.54+297</f>
        <v>959.54</v>
      </c>
      <c r="P6" s="264">
        <f>87.4+23.7</f>
        <v>111.10000000000001</v>
      </c>
      <c r="Q6" s="264">
        <f aca="true" t="shared" si="7" ref="Q6:Q13">P6/O6*1000</f>
        <v>115.78464680992977</v>
      </c>
    </row>
    <row r="7" spans="1:17" s="187" customFormat="1" ht="12" customHeight="1">
      <c r="A7" s="184"/>
      <c r="B7" s="189" t="s">
        <v>375</v>
      </c>
      <c r="C7" s="270">
        <v>1631.962</v>
      </c>
      <c r="D7" s="270">
        <f>94.869</f>
        <v>94.869</v>
      </c>
      <c r="E7" s="264">
        <f t="shared" si="0"/>
        <v>0.5813186826654052</v>
      </c>
      <c r="F7" s="264">
        <v>729.779</v>
      </c>
      <c r="G7" s="264">
        <v>54.858</v>
      </c>
      <c r="H7" s="264">
        <f t="shared" si="1"/>
        <v>0.751707023633182</v>
      </c>
      <c r="I7" s="264">
        <f t="shared" si="2"/>
        <v>547.33425</v>
      </c>
      <c r="J7" s="264">
        <f t="shared" si="3"/>
        <v>51.42937499999999</v>
      </c>
      <c r="K7" s="264">
        <f t="shared" si="4"/>
        <v>0.9396337795414775</v>
      </c>
      <c r="L7" s="264">
        <f t="shared" si="5"/>
        <v>1277.1132499999999</v>
      </c>
      <c r="M7" s="264">
        <f t="shared" si="5"/>
        <v>106.287375</v>
      </c>
      <c r="N7" s="264">
        <f t="shared" si="6"/>
        <v>0.8322470618795945</v>
      </c>
      <c r="O7" s="358">
        <v>1172.16</v>
      </c>
      <c r="P7" s="264">
        <v>105.03</v>
      </c>
      <c r="Q7" s="264">
        <f t="shared" si="7"/>
        <v>89.60380835380835</v>
      </c>
    </row>
    <row r="8" spans="1:17" s="187" customFormat="1" ht="12" customHeight="1">
      <c r="A8" s="184"/>
      <c r="B8" s="189" t="s">
        <v>376</v>
      </c>
      <c r="C8" s="270">
        <v>885.474</v>
      </c>
      <c r="D8" s="270">
        <v>58.506</v>
      </c>
      <c r="E8" s="264">
        <f t="shared" si="0"/>
        <v>0.6607308627921317</v>
      </c>
      <c r="F8" s="264">
        <v>595.899</v>
      </c>
      <c r="G8" s="264">
        <v>48.419</v>
      </c>
      <c r="H8" s="264">
        <f t="shared" si="1"/>
        <v>0.8125370238916325</v>
      </c>
      <c r="I8" s="264">
        <f t="shared" si="2"/>
        <v>446.92425000000003</v>
      </c>
      <c r="J8" s="264">
        <f t="shared" si="3"/>
        <v>45.392812500000005</v>
      </c>
      <c r="K8" s="264">
        <f t="shared" si="4"/>
        <v>1.0156712798645409</v>
      </c>
      <c r="L8" s="264">
        <f t="shared" si="5"/>
        <v>1042.82325</v>
      </c>
      <c r="M8" s="264">
        <f t="shared" si="5"/>
        <v>93.8118125</v>
      </c>
      <c r="N8" s="264">
        <f t="shared" si="6"/>
        <v>0.8995945621657363</v>
      </c>
      <c r="O8" s="358">
        <v>693</v>
      </c>
      <c r="P8" s="264">
        <v>57.16</v>
      </c>
      <c r="Q8" s="264">
        <f t="shared" si="7"/>
        <v>82.48196248196247</v>
      </c>
    </row>
    <row r="9" spans="1:17" s="187" customFormat="1" ht="12" customHeight="1">
      <c r="A9" s="184"/>
      <c r="B9" s="189" t="s">
        <v>377</v>
      </c>
      <c r="C9" s="270">
        <v>852.31</v>
      </c>
      <c r="D9" s="270">
        <v>30.268</v>
      </c>
      <c r="E9" s="264">
        <f t="shared" si="0"/>
        <v>0.3551290023582969</v>
      </c>
      <c r="F9" s="264">
        <v>399.087</v>
      </c>
      <c r="G9" s="264">
        <v>21.636</v>
      </c>
      <c r="H9" s="264">
        <f t="shared" si="1"/>
        <v>0.5421374286809643</v>
      </c>
      <c r="I9" s="264">
        <f t="shared" si="2"/>
        <v>299.31525</v>
      </c>
      <c r="J9" s="264">
        <f t="shared" si="3"/>
        <v>20.283749999999998</v>
      </c>
      <c r="K9" s="264">
        <f t="shared" si="4"/>
        <v>0.6776717858512054</v>
      </c>
      <c r="L9" s="264">
        <f t="shared" si="5"/>
        <v>698.40225</v>
      </c>
      <c r="M9" s="264">
        <f t="shared" si="5"/>
        <v>41.91974999999999</v>
      </c>
      <c r="N9" s="264">
        <f t="shared" si="6"/>
        <v>0.6002235817539247</v>
      </c>
      <c r="O9" s="358">
        <v>825.66</v>
      </c>
      <c r="P9" s="264">
        <v>42.23</v>
      </c>
      <c r="Q9" s="264">
        <f t="shared" si="7"/>
        <v>51.14696121890366</v>
      </c>
    </row>
    <row r="10" spans="1:17" s="187" customFormat="1" ht="12" customHeight="1">
      <c r="A10" s="184"/>
      <c r="B10" s="189" t="s">
        <v>378</v>
      </c>
      <c r="C10" s="270">
        <v>2445.106</v>
      </c>
      <c r="D10" s="270">
        <v>186.09</v>
      </c>
      <c r="E10" s="264">
        <f t="shared" si="0"/>
        <v>0.7610712991584003</v>
      </c>
      <c r="F10" s="264">
        <v>1671.642</v>
      </c>
      <c r="G10" s="264">
        <v>111.569</v>
      </c>
      <c r="H10" s="264">
        <f t="shared" si="1"/>
        <v>0.6674216130008698</v>
      </c>
      <c r="I10" s="264">
        <f t="shared" si="2"/>
        <v>1253.7315</v>
      </c>
      <c r="J10" s="264">
        <f t="shared" si="3"/>
        <v>104.59593749999999</v>
      </c>
      <c r="K10" s="264">
        <f t="shared" si="4"/>
        <v>0.8342770162510871</v>
      </c>
      <c r="L10" s="264">
        <f t="shared" si="5"/>
        <v>2925.3735</v>
      </c>
      <c r="M10" s="264">
        <f t="shared" si="5"/>
        <v>216.1649375</v>
      </c>
      <c r="N10" s="264">
        <f t="shared" si="6"/>
        <v>0.7389310715366773</v>
      </c>
      <c r="O10" s="358">
        <v>2026.53</v>
      </c>
      <c r="P10" s="264">
        <v>158.95</v>
      </c>
      <c r="Q10" s="264">
        <f t="shared" si="7"/>
        <v>78.43456548879118</v>
      </c>
    </row>
    <row r="11" spans="1:17" s="187" customFormat="1" ht="12" customHeight="1">
      <c r="A11" s="184"/>
      <c r="B11" s="189" t="s">
        <v>379</v>
      </c>
      <c r="C11" s="270">
        <f>7014.53021-C6-C7-C8-C9-C10</f>
        <v>235.11820999999964</v>
      </c>
      <c r="D11" s="270">
        <f>469.3348703-D6-D7-D8-D9-D10</f>
        <v>17.18187029999993</v>
      </c>
      <c r="E11" s="264">
        <f t="shared" si="0"/>
        <v>0.7307758212347719</v>
      </c>
      <c r="F11" s="264">
        <v>145.284</v>
      </c>
      <c r="G11" s="264">
        <v>6.055</v>
      </c>
      <c r="H11" s="264">
        <f t="shared" si="1"/>
        <v>0.41676991272266734</v>
      </c>
      <c r="I11" s="264">
        <f t="shared" si="2"/>
        <v>108.963</v>
      </c>
      <c r="J11" s="264">
        <f t="shared" si="3"/>
        <v>5.676562499999999</v>
      </c>
      <c r="K11" s="264">
        <f t="shared" si="4"/>
        <v>0.5209623909033341</v>
      </c>
      <c r="L11" s="264">
        <f t="shared" si="5"/>
        <v>254.24699999999999</v>
      </c>
      <c r="M11" s="264">
        <f t="shared" si="5"/>
        <v>11.731562499999999</v>
      </c>
      <c r="N11" s="264">
        <f t="shared" si="6"/>
        <v>0.4614238319429531</v>
      </c>
      <c r="O11" s="358">
        <v>262.5</v>
      </c>
      <c r="P11" s="264">
        <v>8.89</v>
      </c>
      <c r="Q11" s="264">
        <f t="shared" si="7"/>
        <v>33.86666666666667</v>
      </c>
    </row>
    <row r="12" spans="1:17" s="187" customFormat="1" ht="12.75">
      <c r="A12" s="184"/>
      <c r="B12" s="190" t="s">
        <v>31</v>
      </c>
      <c r="C12" s="271">
        <f>SUM(C6:C11)</f>
        <v>7014.53021</v>
      </c>
      <c r="D12" s="271">
        <f>SUM(D6:D11)</f>
        <v>469.3348702999999</v>
      </c>
      <c r="E12" s="16">
        <f t="shared" si="0"/>
        <v>0.6690895273797671</v>
      </c>
      <c r="F12" s="16">
        <f>SUM(F6:F11)</f>
        <v>3987.9010000000003</v>
      </c>
      <c r="G12" s="16">
        <f>SUM(G6:G11)</f>
        <v>286.479</v>
      </c>
      <c r="H12" s="16">
        <f>G12/F12*10</f>
        <v>0.7183703908396922</v>
      </c>
      <c r="I12" s="16">
        <f>SUM(I6:I11)</f>
        <v>2990.925750000001</v>
      </c>
      <c r="J12" s="16">
        <f>SUM(J6:J11)</f>
        <v>268.57406249999997</v>
      </c>
      <c r="K12" s="16">
        <f>J12/I12*10</f>
        <v>0.8979629885496152</v>
      </c>
      <c r="L12" s="429">
        <f>SUM(L6:L11)</f>
        <v>6978.82675</v>
      </c>
      <c r="M12" s="429">
        <f>SUM(M6:M11)</f>
        <v>555.0530625</v>
      </c>
      <c r="N12" s="429">
        <f t="shared" si="6"/>
        <v>0.795338647001088</v>
      </c>
      <c r="O12" s="429">
        <f>SUM(O6:O11)</f>
        <v>5939.389999999999</v>
      </c>
      <c r="P12" s="429">
        <f>SUM(P6:P11)</f>
        <v>483.35999999999996</v>
      </c>
      <c r="Q12" s="429">
        <f t="shared" si="7"/>
        <v>81.38209479424654</v>
      </c>
    </row>
    <row r="13" spans="1:17" s="187" customFormat="1" ht="12.75">
      <c r="A13" s="188" t="s">
        <v>116</v>
      </c>
      <c r="B13" s="191" t="s">
        <v>380</v>
      </c>
      <c r="C13" s="357">
        <v>2544.841</v>
      </c>
      <c r="D13" s="271">
        <v>532.6391599</v>
      </c>
      <c r="E13" s="16">
        <f t="shared" si="0"/>
        <v>2.0930154768018907</v>
      </c>
      <c r="F13" s="273">
        <v>1341.247</v>
      </c>
      <c r="G13" s="273">
        <v>275.983</v>
      </c>
      <c r="H13" s="273">
        <f>G13/F13*10</f>
        <v>2.0576597748214907</v>
      </c>
      <c r="I13" s="273">
        <f>F13</f>
        <v>1341.247</v>
      </c>
      <c r="J13" s="264">
        <f>(H13*I13/10)*1.1</f>
        <v>303.58130000000006</v>
      </c>
      <c r="K13" s="273">
        <f>J13/I13*10</f>
        <v>2.26342575230364</v>
      </c>
      <c r="L13" s="273">
        <f>I13+F13</f>
        <v>2682.494</v>
      </c>
      <c r="M13" s="273">
        <f>J13+G13</f>
        <v>579.5643</v>
      </c>
      <c r="N13" s="273">
        <f t="shared" si="6"/>
        <v>2.160542763562565</v>
      </c>
      <c r="O13" s="273">
        <v>2838.35</v>
      </c>
      <c r="P13" s="273">
        <v>598.44</v>
      </c>
      <c r="Q13" s="273">
        <f t="shared" si="7"/>
        <v>210.8408053975021</v>
      </c>
    </row>
    <row r="14" spans="1:17" s="187" customFormat="1" ht="12" customHeight="1">
      <c r="A14" s="188" t="s">
        <v>28</v>
      </c>
      <c r="B14" s="191" t="s">
        <v>381</v>
      </c>
      <c r="C14" s="274"/>
      <c r="D14" s="274"/>
      <c r="E14" s="185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s="187" customFormat="1" ht="12" customHeight="1">
      <c r="A15" s="184"/>
      <c r="B15" s="189" t="s">
        <v>382</v>
      </c>
      <c r="C15" s="274">
        <v>3406.497</v>
      </c>
      <c r="D15" s="274">
        <v>0</v>
      </c>
      <c r="E15" s="185"/>
      <c r="F15" s="264">
        <v>1659.17</v>
      </c>
      <c r="G15" s="264">
        <v>430.317</v>
      </c>
      <c r="H15" s="264">
        <f aca="true" t="shared" si="8" ref="H15:H21">G15/F15*10</f>
        <v>2.593567868271485</v>
      </c>
      <c r="I15" s="264">
        <f>F15</f>
        <v>1659.17</v>
      </c>
      <c r="J15" s="264">
        <f>(I15*H15/10)*1.1</f>
        <v>473.34870000000006</v>
      </c>
      <c r="K15" s="264">
        <f aca="true" t="shared" si="9" ref="K15:K21">J15/I15*10</f>
        <v>2.852924655098634</v>
      </c>
      <c r="L15" s="264">
        <f aca="true" t="shared" si="10" ref="L15:L23">F15+I15</f>
        <v>3318.34</v>
      </c>
      <c r="M15" s="264">
        <f aca="true" t="shared" si="11" ref="M15:M23">G15+J15</f>
        <v>903.6657</v>
      </c>
      <c r="N15" s="264">
        <f aca="true" t="shared" si="12" ref="N15:N23">M15/L15*10</f>
        <v>2.7232462616850595</v>
      </c>
      <c r="O15" s="358">
        <v>3177.253</v>
      </c>
      <c r="P15" s="264">
        <v>921.61</v>
      </c>
      <c r="Q15" s="264">
        <f aca="true" t="shared" si="13" ref="Q15:Q22">P15/O15*1000</f>
        <v>290.06503416630653</v>
      </c>
    </row>
    <row r="16" spans="1:17" s="187" customFormat="1" ht="12" customHeight="1">
      <c r="A16" s="188"/>
      <c r="B16" s="189" t="s">
        <v>456</v>
      </c>
      <c r="C16" s="274">
        <v>1219.187</v>
      </c>
      <c r="D16" s="274"/>
      <c r="E16" s="185"/>
      <c r="F16" s="264">
        <v>653.023</v>
      </c>
      <c r="G16" s="264">
        <f>270.867+0.317</f>
        <v>271.184</v>
      </c>
      <c r="H16" s="264">
        <f t="shared" si="8"/>
        <v>4.152748065535211</v>
      </c>
      <c r="I16" s="264">
        <f aca="true" t="shared" si="14" ref="I16:I23">F16</f>
        <v>653.023</v>
      </c>
      <c r="J16" s="264">
        <f aca="true" t="shared" si="15" ref="J16:J23">(I16*H16/10)*1.1</f>
        <v>298.30240000000003</v>
      </c>
      <c r="K16" s="264">
        <f t="shared" si="9"/>
        <v>4.568022872088732</v>
      </c>
      <c r="L16" s="264">
        <f t="shared" si="10"/>
        <v>1306.046</v>
      </c>
      <c r="M16" s="264">
        <f t="shared" si="11"/>
        <v>569.4864</v>
      </c>
      <c r="N16" s="264">
        <f t="shared" si="12"/>
        <v>4.360385468811971</v>
      </c>
      <c r="O16" s="358">
        <v>1470.923</v>
      </c>
      <c r="P16" s="264">
        <v>713.535</v>
      </c>
      <c r="Q16" s="264">
        <f t="shared" si="13"/>
        <v>485.0933733444918</v>
      </c>
    </row>
    <row r="17" spans="1:17" s="187" customFormat="1" ht="12" customHeight="1">
      <c r="A17" s="188"/>
      <c r="B17" s="189" t="s">
        <v>457</v>
      </c>
      <c r="C17" s="274">
        <v>772.136</v>
      </c>
      <c r="D17" s="274"/>
      <c r="E17" s="185"/>
      <c r="F17" s="264">
        <v>364.957</v>
      </c>
      <c r="G17" s="264">
        <f>183.496+0.079</f>
        <v>183.57500000000002</v>
      </c>
      <c r="H17" s="264">
        <f t="shared" si="8"/>
        <v>5.030044635395403</v>
      </c>
      <c r="I17" s="264">
        <f t="shared" si="14"/>
        <v>364.957</v>
      </c>
      <c r="J17" s="264">
        <f t="shared" si="15"/>
        <v>201.9325</v>
      </c>
      <c r="K17" s="264">
        <f t="shared" si="9"/>
        <v>5.533049098934944</v>
      </c>
      <c r="L17" s="264">
        <f t="shared" si="10"/>
        <v>729.914</v>
      </c>
      <c r="M17" s="264">
        <f t="shared" si="11"/>
        <v>385.50750000000005</v>
      </c>
      <c r="N17" s="264">
        <f t="shared" si="12"/>
        <v>5.281546867165173</v>
      </c>
      <c r="O17" s="358">
        <v>566.02</v>
      </c>
      <c r="P17" s="264">
        <v>315.83</v>
      </c>
      <c r="Q17" s="264">
        <f t="shared" si="13"/>
        <v>557.9838168262605</v>
      </c>
    </row>
    <row r="18" spans="1:17" s="187" customFormat="1" ht="12" customHeight="1">
      <c r="A18" s="184"/>
      <c r="B18" s="189" t="s">
        <v>383</v>
      </c>
      <c r="C18" s="274">
        <v>623.314</v>
      </c>
      <c r="D18" s="274"/>
      <c r="E18" s="185"/>
      <c r="F18" s="264">
        <v>387.609</v>
      </c>
      <c r="G18" s="264">
        <f>148.653-0.954</f>
        <v>147.69899999999998</v>
      </c>
      <c r="H18" s="264">
        <f t="shared" si="8"/>
        <v>3.8105152357143406</v>
      </c>
      <c r="I18" s="264">
        <f t="shared" si="14"/>
        <v>387.609</v>
      </c>
      <c r="J18" s="264">
        <f t="shared" si="15"/>
        <v>162.4689</v>
      </c>
      <c r="K18" s="264">
        <f t="shared" si="9"/>
        <v>4.1915667592857755</v>
      </c>
      <c r="L18" s="264">
        <f t="shared" si="10"/>
        <v>775.218</v>
      </c>
      <c r="M18" s="264">
        <f t="shared" si="11"/>
        <v>310.1679</v>
      </c>
      <c r="N18" s="264">
        <f t="shared" si="12"/>
        <v>4.001040997500057</v>
      </c>
      <c r="O18" s="358">
        <v>838.09</v>
      </c>
      <c r="P18" s="264">
        <v>382.875</v>
      </c>
      <c r="Q18" s="264">
        <f t="shared" si="13"/>
        <v>456.842343901013</v>
      </c>
    </row>
    <row r="19" spans="1:17" s="187" customFormat="1" ht="12" customHeight="1">
      <c r="A19" s="184"/>
      <c r="B19" s="189" t="s">
        <v>384</v>
      </c>
      <c r="C19" s="274">
        <v>148.912</v>
      </c>
      <c r="D19" s="274"/>
      <c r="E19" s="185"/>
      <c r="F19" s="264">
        <v>95.265</v>
      </c>
      <c r="G19" s="264">
        <f>37.444+0.019</f>
        <v>37.463</v>
      </c>
      <c r="H19" s="264">
        <f t="shared" si="8"/>
        <v>3.9325040676009024</v>
      </c>
      <c r="I19" s="264">
        <f t="shared" si="14"/>
        <v>95.265</v>
      </c>
      <c r="J19" s="264">
        <f t="shared" si="15"/>
        <v>41.209300000000006</v>
      </c>
      <c r="K19" s="264">
        <f t="shared" si="9"/>
        <v>4.325754474360994</v>
      </c>
      <c r="L19" s="264">
        <f t="shared" si="10"/>
        <v>190.53</v>
      </c>
      <c r="M19" s="264">
        <f t="shared" si="11"/>
        <v>78.6723</v>
      </c>
      <c r="N19" s="264">
        <f t="shared" si="12"/>
        <v>4.129129270980948</v>
      </c>
      <c r="O19" s="358">
        <v>225.19</v>
      </c>
      <c r="P19" s="264">
        <v>102.44</v>
      </c>
      <c r="Q19" s="264">
        <f t="shared" si="13"/>
        <v>454.90474710244683</v>
      </c>
    </row>
    <row r="20" spans="1:17" s="187" customFormat="1" ht="12.75">
      <c r="A20" s="184"/>
      <c r="B20" s="189" t="s">
        <v>385</v>
      </c>
      <c r="C20" s="274">
        <v>2243.148</v>
      </c>
      <c r="D20" s="274"/>
      <c r="E20" s="185"/>
      <c r="F20" s="264">
        <v>1012.473</v>
      </c>
      <c r="G20" s="264">
        <f>241.632+1.761</f>
        <v>243.393</v>
      </c>
      <c r="H20" s="264">
        <f t="shared" si="8"/>
        <v>2.4039455866971267</v>
      </c>
      <c r="I20" s="264">
        <f t="shared" si="14"/>
        <v>1012.473</v>
      </c>
      <c r="J20" s="264">
        <f t="shared" si="15"/>
        <v>267.7323</v>
      </c>
      <c r="K20" s="264">
        <f t="shared" si="9"/>
        <v>2.6443401453668396</v>
      </c>
      <c r="L20" s="264">
        <f t="shared" si="10"/>
        <v>2024.946</v>
      </c>
      <c r="M20" s="264">
        <f t="shared" si="11"/>
        <v>511.12530000000004</v>
      </c>
      <c r="N20" s="264">
        <f t="shared" si="12"/>
        <v>2.5241428660319833</v>
      </c>
      <c r="O20" s="358">
        <v>2138.42</v>
      </c>
      <c r="P20" s="264">
        <v>644.33</v>
      </c>
      <c r="Q20" s="264">
        <f t="shared" si="13"/>
        <v>301.31124849187717</v>
      </c>
    </row>
    <row r="21" spans="1:17" s="187" customFormat="1" ht="12" customHeight="1">
      <c r="A21" s="184"/>
      <c r="B21" s="189" t="s">
        <v>386</v>
      </c>
      <c r="C21" s="274">
        <f>9822.600286-C15-C16-C17-C18-C19-C20-C23</f>
        <v>1392.9582860000012</v>
      </c>
      <c r="D21" s="274">
        <f>2948.4137562-D23</f>
        <v>2945.5457562</v>
      </c>
      <c r="E21" s="264">
        <f>D21/C21*10</f>
        <v>21.145972465969436</v>
      </c>
      <c r="F21" s="264">
        <v>701.064</v>
      </c>
      <c r="G21" s="264">
        <f>160.54+3.269</f>
        <v>163.809</v>
      </c>
      <c r="H21" s="264">
        <f t="shared" si="8"/>
        <v>2.336576974427442</v>
      </c>
      <c r="I21" s="264">
        <f t="shared" si="14"/>
        <v>701.064</v>
      </c>
      <c r="J21" s="264">
        <f t="shared" si="15"/>
        <v>180.18990000000002</v>
      </c>
      <c r="K21" s="264">
        <f t="shared" si="9"/>
        <v>2.5702346718701863</v>
      </c>
      <c r="L21" s="264">
        <f t="shared" si="10"/>
        <v>1402.128</v>
      </c>
      <c r="M21" s="264">
        <f t="shared" si="11"/>
        <v>343.99890000000005</v>
      </c>
      <c r="N21" s="264">
        <f t="shared" si="12"/>
        <v>2.453405823148814</v>
      </c>
      <c r="O21" s="358">
        <v>1332.44</v>
      </c>
      <c r="P21" s="264">
        <v>389.525</v>
      </c>
      <c r="Q21" s="264">
        <f t="shared" si="13"/>
        <v>292.3396175437543</v>
      </c>
    </row>
    <row r="22" spans="1:17" s="187" customFormat="1" ht="12" customHeight="1">
      <c r="A22" s="184"/>
      <c r="B22" s="189" t="s">
        <v>613</v>
      </c>
      <c r="C22" s="274">
        <v>0</v>
      </c>
      <c r="D22" s="27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f t="shared" si="15"/>
        <v>0</v>
      </c>
      <c r="K22" s="264">
        <v>0</v>
      </c>
      <c r="L22" s="264">
        <v>0</v>
      </c>
      <c r="M22" s="264">
        <v>0</v>
      </c>
      <c r="N22" s="264">
        <v>0</v>
      </c>
      <c r="O22" s="358">
        <v>975.9</v>
      </c>
      <c r="P22" s="264">
        <v>647.935</v>
      </c>
      <c r="Q22" s="264">
        <f t="shared" si="13"/>
        <v>663.9358540834102</v>
      </c>
    </row>
    <row r="23" spans="1:17" s="187" customFormat="1" ht="12" customHeight="1">
      <c r="A23" s="184"/>
      <c r="B23" s="189" t="s">
        <v>387</v>
      </c>
      <c r="C23" s="274">
        <v>16.448</v>
      </c>
      <c r="D23" s="274">
        <f>2.868</f>
        <v>2.868</v>
      </c>
      <c r="E23" s="185"/>
      <c r="F23" s="264">
        <v>10.457</v>
      </c>
      <c r="G23" s="264">
        <v>2.497</v>
      </c>
      <c r="H23" s="264">
        <f>G23/F23*10</f>
        <v>2.3878741512862196</v>
      </c>
      <c r="I23" s="264">
        <f t="shared" si="14"/>
        <v>10.457</v>
      </c>
      <c r="J23" s="264">
        <f t="shared" si="15"/>
        <v>2.7467</v>
      </c>
      <c r="K23" s="264">
        <f>J23/I23*10</f>
        <v>2.6266615664148416</v>
      </c>
      <c r="L23" s="264">
        <f t="shared" si="10"/>
        <v>20.914</v>
      </c>
      <c r="M23" s="264">
        <f t="shared" si="11"/>
        <v>5.2437000000000005</v>
      </c>
      <c r="N23" s="264">
        <f t="shared" si="12"/>
        <v>2.507267858850531</v>
      </c>
      <c r="O23" s="358">
        <v>0</v>
      </c>
      <c r="P23" s="264">
        <v>0</v>
      </c>
      <c r="Q23" s="264">
        <v>0</v>
      </c>
    </row>
    <row r="24" spans="1:17" s="187" customFormat="1" ht="12.75">
      <c r="A24" s="184"/>
      <c r="B24" s="190" t="s">
        <v>31</v>
      </c>
      <c r="C24" s="271">
        <f>SUM(C15:C23)</f>
        <v>9822.600286</v>
      </c>
      <c r="D24" s="271">
        <f aca="true" t="shared" si="16" ref="D24:P24">SUM(D15:D23)</f>
        <v>2948.4137562</v>
      </c>
      <c r="E24" s="16">
        <f>D24/C24*10</f>
        <v>3.0016631750783223</v>
      </c>
      <c r="F24" s="272">
        <f t="shared" si="16"/>
        <v>4884.018</v>
      </c>
      <c r="G24" s="272">
        <f t="shared" si="16"/>
        <v>1479.9370000000001</v>
      </c>
      <c r="H24" s="272">
        <f>G24/F24*10</f>
        <v>3.030162869997613</v>
      </c>
      <c r="I24" s="272">
        <f>SUM(I15:I23)</f>
        <v>4884.018</v>
      </c>
      <c r="J24" s="272">
        <f>SUM(J15:J23)</f>
        <v>1627.9307</v>
      </c>
      <c r="K24" s="272">
        <f>J24/I24*10</f>
        <v>3.3331791569973737</v>
      </c>
      <c r="L24" s="275">
        <f t="shared" si="16"/>
        <v>9768.036</v>
      </c>
      <c r="M24" s="275">
        <f t="shared" si="16"/>
        <v>3107.8677000000002</v>
      </c>
      <c r="N24" s="275">
        <f>M24/L24*10</f>
        <v>3.1816710134974935</v>
      </c>
      <c r="O24" s="275">
        <f t="shared" si="16"/>
        <v>10724.236</v>
      </c>
      <c r="P24" s="275">
        <f t="shared" si="16"/>
        <v>4118.08</v>
      </c>
      <c r="Q24" s="196">
        <f>P24/O24*1000</f>
        <v>383.99751739890837</v>
      </c>
    </row>
    <row r="25" spans="1:17" s="187" customFormat="1" ht="12" customHeight="1">
      <c r="A25" s="188" t="s">
        <v>27</v>
      </c>
      <c r="B25" s="191" t="s">
        <v>388</v>
      </c>
      <c r="C25" s="274"/>
      <c r="D25" s="274"/>
      <c r="E25" s="185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s="187" customFormat="1" ht="12.75">
      <c r="A26" s="184"/>
      <c r="B26" s="189" t="s">
        <v>389</v>
      </c>
      <c r="C26" s="274">
        <v>275.412775</v>
      </c>
      <c r="D26" s="274">
        <v>50.7918161</v>
      </c>
      <c r="E26" s="264">
        <f>D26/C26*10</f>
        <v>1.844206976237758</v>
      </c>
      <c r="F26" s="264">
        <v>173.942</v>
      </c>
      <c r="G26" s="264">
        <v>32.817</v>
      </c>
      <c r="H26" s="264">
        <f>G26/F26*10</f>
        <v>1.8866633705488036</v>
      </c>
      <c r="I26" s="264">
        <v>100</v>
      </c>
      <c r="J26" s="264">
        <f>I26*H26/10</f>
        <v>18.866633705488034</v>
      </c>
      <c r="K26" s="264">
        <f>J26/I26*10</f>
        <v>1.8866633705488034</v>
      </c>
      <c r="L26" s="264">
        <f aca="true" t="shared" si="17" ref="L26:M28">F26+I26</f>
        <v>273.942</v>
      </c>
      <c r="M26" s="264">
        <f t="shared" si="17"/>
        <v>51.683633705488035</v>
      </c>
      <c r="N26" s="264">
        <f>M26/L26*10</f>
        <v>1.8866633705488034</v>
      </c>
      <c r="O26" s="358">
        <v>263</v>
      </c>
      <c r="P26" s="264">
        <v>57.865</v>
      </c>
      <c r="Q26" s="264">
        <f>P26/O26*1000</f>
        <v>220.0190114068441</v>
      </c>
    </row>
    <row r="27" spans="1:17" s="187" customFormat="1" ht="12" customHeight="1">
      <c r="A27" s="184"/>
      <c r="B27" s="189" t="s">
        <v>390</v>
      </c>
      <c r="C27" s="274">
        <v>153.823641</v>
      </c>
      <c r="D27" s="274">
        <v>31.0723756</v>
      </c>
      <c r="E27" s="264">
        <f>D27/C27*10</f>
        <v>2.0200000076711224</v>
      </c>
      <c r="F27" s="264">
        <v>111.509</v>
      </c>
      <c r="G27" s="264">
        <v>23.119</v>
      </c>
      <c r="H27" s="264">
        <f>G27/F27*10</f>
        <v>2.0732855643939057</v>
      </c>
      <c r="I27" s="264">
        <v>40</v>
      </c>
      <c r="J27" s="264">
        <f>I27*H27/10</f>
        <v>8.293142257575623</v>
      </c>
      <c r="K27" s="264">
        <f>J27/I27*10</f>
        <v>2.0732855643939057</v>
      </c>
      <c r="L27" s="264">
        <f t="shared" si="17"/>
        <v>151.50900000000001</v>
      </c>
      <c r="M27" s="264">
        <f t="shared" si="17"/>
        <v>31.412142257575624</v>
      </c>
      <c r="N27" s="264">
        <f>M27/L27*10</f>
        <v>2.0732855643939057</v>
      </c>
      <c r="O27" s="358">
        <v>142</v>
      </c>
      <c r="P27" s="264">
        <v>33.855</v>
      </c>
      <c r="Q27" s="264">
        <f>P27/O27*1000</f>
        <v>238.41549295774644</v>
      </c>
    </row>
    <row r="28" spans="1:17" s="187" customFormat="1" ht="12.75">
      <c r="A28" s="184"/>
      <c r="B28" s="192" t="s">
        <v>391</v>
      </c>
      <c r="C28" s="274">
        <v>468.01306</v>
      </c>
      <c r="D28" s="274">
        <v>168.9735293</v>
      </c>
      <c r="E28" s="264">
        <f>D28/C28*10</f>
        <v>3.610444744853915</v>
      </c>
      <c r="F28" s="264">
        <v>367.622</v>
      </c>
      <c r="G28" s="264">
        <v>85.321</v>
      </c>
      <c r="H28" s="264">
        <f>G28/F28*10</f>
        <v>2.3208893918209466</v>
      </c>
      <c r="I28" s="264">
        <v>200</v>
      </c>
      <c r="J28" s="264">
        <f>I28*H28/10</f>
        <v>46.41778783641893</v>
      </c>
      <c r="K28" s="264">
        <f>J28/I28*10</f>
        <v>2.3208893918209466</v>
      </c>
      <c r="L28" s="264">
        <f t="shared" si="17"/>
        <v>567.6220000000001</v>
      </c>
      <c r="M28" s="264">
        <f t="shared" si="17"/>
        <v>131.73878783641894</v>
      </c>
      <c r="N28" s="264">
        <f>M28/L28*10</f>
        <v>2.3208893918209466</v>
      </c>
      <c r="O28" s="358">
        <v>513</v>
      </c>
      <c r="P28" s="264">
        <v>155.12</v>
      </c>
      <c r="Q28" s="264">
        <f>P28/O28*1000</f>
        <v>302.37816764132555</v>
      </c>
    </row>
    <row r="29" spans="1:17" s="187" customFormat="1" ht="12" customHeight="1">
      <c r="A29" s="184"/>
      <c r="B29" s="190" t="s">
        <v>31</v>
      </c>
      <c r="C29" s="271">
        <f>SUM(C26:C28)</f>
        <v>897.249476</v>
      </c>
      <c r="D29" s="271">
        <f>SUM(D26:D28)</f>
        <v>250.837721</v>
      </c>
      <c r="E29" s="272">
        <f>D29/C29*10</f>
        <v>2.795629618177676</v>
      </c>
      <c r="F29" s="272">
        <f>SUM(F26:F28)</f>
        <v>653.0730000000001</v>
      </c>
      <c r="G29" s="272">
        <f>SUM(G26:G28)</f>
        <v>141.257</v>
      </c>
      <c r="H29" s="272">
        <f>G29/F29*10</f>
        <v>2.1629588116489273</v>
      </c>
      <c r="I29" s="272">
        <f>SUM(I26:I28)</f>
        <v>340</v>
      </c>
      <c r="J29" s="272">
        <f>SUM(J26:J28)</f>
        <v>73.57756379948259</v>
      </c>
      <c r="K29" s="272">
        <f>J29/I29*10</f>
        <v>2.164045994102429</v>
      </c>
      <c r="L29" s="275">
        <f>SUM(L26:L28)</f>
        <v>993.0730000000001</v>
      </c>
      <c r="M29" s="275">
        <f>SUM(M26:M28)</f>
        <v>214.8345637994826</v>
      </c>
      <c r="N29" s="275">
        <f>M29/L29*10</f>
        <v>2.163331032053863</v>
      </c>
      <c r="O29" s="275">
        <f>SUM(O26:O28)</f>
        <v>918</v>
      </c>
      <c r="P29" s="275">
        <f>SUM(P26:P28)</f>
        <v>246.84</v>
      </c>
      <c r="Q29" s="196">
        <f>P29/O29*1000</f>
        <v>268.8888888888889</v>
      </c>
    </row>
    <row r="30" spans="1:17" s="187" customFormat="1" ht="12" customHeight="1">
      <c r="A30" s="188" t="s">
        <v>29</v>
      </c>
      <c r="B30" s="191" t="s">
        <v>392</v>
      </c>
      <c r="C30" s="274"/>
      <c r="D30" s="274"/>
      <c r="E30" s="185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</row>
    <row r="31" spans="1:17" s="187" customFormat="1" ht="12.75">
      <c r="A31" s="188"/>
      <c r="B31" s="189" t="s">
        <v>610</v>
      </c>
      <c r="C31" s="276">
        <v>46.427171</v>
      </c>
      <c r="D31" s="276">
        <v>9.8673478</v>
      </c>
      <c r="E31" s="264">
        <f aca="true" t="shared" si="18" ref="E31:E43">D31/C31*10</f>
        <v>2.125339017533504</v>
      </c>
      <c r="F31" s="264">
        <v>24.66</v>
      </c>
      <c r="G31" s="264">
        <v>0</v>
      </c>
      <c r="H31" s="264"/>
      <c r="I31" s="264">
        <f>F31</f>
        <v>24.66</v>
      </c>
      <c r="J31" s="264">
        <f>I31*2.75/10</f>
        <v>6.781499999999999</v>
      </c>
      <c r="K31" s="264">
        <f>J31/I31*10</f>
        <v>2.7499999999999996</v>
      </c>
      <c r="L31" s="264"/>
      <c r="M31" s="264"/>
      <c r="N31" s="264"/>
      <c r="O31" s="264"/>
      <c r="P31" s="264"/>
      <c r="Q31" s="264"/>
    </row>
    <row r="32" spans="1:17" s="187" customFormat="1" ht="12.75">
      <c r="A32" s="188"/>
      <c r="B32" s="189" t="s">
        <v>393</v>
      </c>
      <c r="C32" s="276">
        <v>27.782764</v>
      </c>
      <c r="D32" s="276">
        <v>5.7087672</v>
      </c>
      <c r="E32" s="264">
        <f t="shared" si="18"/>
        <v>2.054787349451624</v>
      </c>
      <c r="F32" s="264">
        <v>11.244</v>
      </c>
      <c r="G32" s="264">
        <v>0</v>
      </c>
      <c r="H32" s="264">
        <f aca="true" t="shared" si="19" ref="H32:H48">G32/F32*10</f>
        <v>0</v>
      </c>
      <c r="I32" s="264">
        <f aca="true" t="shared" si="20" ref="I32:I49">F32</f>
        <v>11.244</v>
      </c>
      <c r="J32" s="264">
        <f aca="true" t="shared" si="21" ref="J32:J49">I32*2.75/10</f>
        <v>3.0921</v>
      </c>
      <c r="K32" s="264">
        <f aca="true" t="shared" si="22" ref="K32:K48">J32/I32*10</f>
        <v>2.7499999999999996</v>
      </c>
      <c r="L32" s="264">
        <f aca="true" t="shared" si="23" ref="L32:L42">F32+I32</f>
        <v>22.488</v>
      </c>
      <c r="M32" s="264">
        <f aca="true" t="shared" si="24" ref="M32:M42">G32+J32</f>
        <v>3.0921</v>
      </c>
      <c r="N32" s="264">
        <f aca="true" t="shared" si="25" ref="N32:N42">M32/L32*10</f>
        <v>1.3749999999999998</v>
      </c>
      <c r="O32" s="264">
        <v>0</v>
      </c>
      <c r="P32" s="264">
        <v>0</v>
      </c>
      <c r="Q32" s="264">
        <v>0</v>
      </c>
    </row>
    <row r="33" spans="1:17" s="187" customFormat="1" ht="12.75">
      <c r="A33" s="184"/>
      <c r="B33" s="192" t="s">
        <v>395</v>
      </c>
      <c r="C33" s="276">
        <v>115.418471</v>
      </c>
      <c r="D33" s="276">
        <v>44.9995491</v>
      </c>
      <c r="E33" s="264">
        <f t="shared" si="18"/>
        <v>3.8988169493252083</v>
      </c>
      <c r="F33" s="264">
        <v>19.286</v>
      </c>
      <c r="G33" s="264">
        <v>0</v>
      </c>
      <c r="H33" s="264">
        <f t="shared" si="19"/>
        <v>0</v>
      </c>
      <c r="I33" s="264">
        <f t="shared" si="20"/>
        <v>19.286</v>
      </c>
      <c r="J33" s="264">
        <f t="shared" si="21"/>
        <v>5.30365</v>
      </c>
      <c r="K33" s="264">
        <f t="shared" si="22"/>
        <v>2.7499999999999996</v>
      </c>
      <c r="L33" s="264">
        <f t="shared" si="23"/>
        <v>38.572</v>
      </c>
      <c r="M33" s="264">
        <f t="shared" si="24"/>
        <v>5.30365</v>
      </c>
      <c r="N33" s="264">
        <f t="shared" si="25"/>
        <v>1.3749999999999998</v>
      </c>
      <c r="O33" s="264"/>
      <c r="P33" s="264"/>
      <c r="Q33" s="264">
        <v>0</v>
      </c>
    </row>
    <row r="34" spans="1:17" s="187" customFormat="1" ht="12.75">
      <c r="A34" s="184"/>
      <c r="B34" s="192" t="s">
        <v>396</v>
      </c>
      <c r="C34" s="276">
        <v>12.604987</v>
      </c>
      <c r="D34" s="276">
        <v>0.2790308</v>
      </c>
      <c r="E34" s="264">
        <f t="shared" si="18"/>
        <v>0.22136540085285294</v>
      </c>
      <c r="F34" s="264">
        <v>3.014</v>
      </c>
      <c r="G34" s="264">
        <v>0</v>
      </c>
      <c r="H34" s="264">
        <f t="shared" si="19"/>
        <v>0</v>
      </c>
      <c r="I34" s="264">
        <f t="shared" si="20"/>
        <v>3.014</v>
      </c>
      <c r="J34" s="264">
        <f t="shared" si="21"/>
        <v>0.8288499999999999</v>
      </c>
      <c r="K34" s="264">
        <f t="shared" si="22"/>
        <v>2.7499999999999996</v>
      </c>
      <c r="L34" s="264">
        <f t="shared" si="23"/>
        <v>6.028</v>
      </c>
      <c r="M34" s="264">
        <f t="shared" si="24"/>
        <v>0.8288499999999999</v>
      </c>
      <c r="N34" s="264">
        <f t="shared" si="25"/>
        <v>1.3749999999999998</v>
      </c>
      <c r="O34" s="264"/>
      <c r="P34" s="264"/>
      <c r="Q34" s="264">
        <v>0</v>
      </c>
    </row>
    <row r="35" spans="1:17" s="187" customFormat="1" ht="12.75">
      <c r="A35" s="184"/>
      <c r="B35" s="192" t="s">
        <v>397</v>
      </c>
      <c r="C35" s="276">
        <v>112.407521</v>
      </c>
      <c r="D35" s="276">
        <v>8.8295945</v>
      </c>
      <c r="E35" s="264">
        <f t="shared" si="18"/>
        <v>0.7854985521831764</v>
      </c>
      <c r="F35" s="264">
        <v>52.919</v>
      </c>
      <c r="G35" s="264">
        <v>0</v>
      </c>
      <c r="H35" s="264">
        <f t="shared" si="19"/>
        <v>0</v>
      </c>
      <c r="I35" s="264">
        <f t="shared" si="20"/>
        <v>52.919</v>
      </c>
      <c r="J35" s="264">
        <f t="shared" si="21"/>
        <v>14.552724999999999</v>
      </c>
      <c r="K35" s="264">
        <f t="shared" si="22"/>
        <v>2.7499999999999996</v>
      </c>
      <c r="L35" s="264">
        <f t="shared" si="23"/>
        <v>105.838</v>
      </c>
      <c r="M35" s="264">
        <f t="shared" si="24"/>
        <v>14.552724999999999</v>
      </c>
      <c r="N35" s="264">
        <f t="shared" si="25"/>
        <v>1.3749999999999998</v>
      </c>
      <c r="O35" s="264"/>
      <c r="P35" s="264"/>
      <c r="Q35" s="264">
        <v>0</v>
      </c>
    </row>
    <row r="36" spans="1:17" s="187" customFormat="1" ht="12.75">
      <c r="A36" s="184"/>
      <c r="B36" s="192" t="s">
        <v>398</v>
      </c>
      <c r="C36" s="276">
        <v>36.22084</v>
      </c>
      <c r="D36" s="276">
        <v>1.4184577</v>
      </c>
      <c r="E36" s="264">
        <f t="shared" si="18"/>
        <v>0.39161369532015267</v>
      </c>
      <c r="F36" s="264">
        <v>8.774</v>
      </c>
      <c r="G36" s="264">
        <v>0</v>
      </c>
      <c r="H36" s="264">
        <f t="shared" si="19"/>
        <v>0</v>
      </c>
      <c r="I36" s="264">
        <f t="shared" si="20"/>
        <v>8.774</v>
      </c>
      <c r="J36" s="264">
        <f t="shared" si="21"/>
        <v>2.4128499999999997</v>
      </c>
      <c r="K36" s="264">
        <f t="shared" si="22"/>
        <v>2.75</v>
      </c>
      <c r="L36" s="264">
        <f t="shared" si="23"/>
        <v>17.548</v>
      </c>
      <c r="M36" s="264">
        <f t="shared" si="24"/>
        <v>2.4128499999999997</v>
      </c>
      <c r="N36" s="264">
        <f t="shared" si="25"/>
        <v>1.375</v>
      </c>
      <c r="O36" s="264"/>
      <c r="P36" s="264"/>
      <c r="Q36" s="264">
        <v>0</v>
      </c>
    </row>
    <row r="37" spans="1:17" s="187" customFormat="1" ht="12.75">
      <c r="A37" s="184"/>
      <c r="B37" s="192" t="s">
        <v>400</v>
      </c>
      <c r="C37" s="276">
        <v>9.781827</v>
      </c>
      <c r="D37" s="276">
        <v>-2.2982642</v>
      </c>
      <c r="E37" s="264">
        <f t="shared" si="18"/>
        <v>-2.349524480447262</v>
      </c>
      <c r="F37" s="264">
        <v>6.252</v>
      </c>
      <c r="G37" s="264">
        <v>0</v>
      </c>
      <c r="H37" s="264">
        <f t="shared" si="19"/>
        <v>0</v>
      </c>
      <c r="I37" s="264">
        <f t="shared" si="20"/>
        <v>6.252</v>
      </c>
      <c r="J37" s="264">
        <f t="shared" si="21"/>
        <v>1.7192999999999998</v>
      </c>
      <c r="K37" s="264">
        <f t="shared" si="22"/>
        <v>2.7499999999999996</v>
      </c>
      <c r="L37" s="264">
        <f t="shared" si="23"/>
        <v>12.504</v>
      </c>
      <c r="M37" s="264">
        <f t="shared" si="24"/>
        <v>1.7192999999999998</v>
      </c>
      <c r="N37" s="264">
        <f t="shared" si="25"/>
        <v>1.3749999999999998</v>
      </c>
      <c r="O37" s="264"/>
      <c r="P37" s="264"/>
      <c r="Q37" s="264">
        <v>0</v>
      </c>
    </row>
    <row r="38" spans="1:17" s="187" customFormat="1" ht="12" customHeight="1">
      <c r="A38" s="184"/>
      <c r="B38" s="192" t="s">
        <v>518</v>
      </c>
      <c r="C38" s="276">
        <v>156.087909</v>
      </c>
      <c r="D38" s="276">
        <v>9.4946877</v>
      </c>
      <c r="E38" s="264">
        <f t="shared" si="18"/>
        <v>0.6082910432223164</v>
      </c>
      <c r="F38" s="264">
        <v>52.385</v>
      </c>
      <c r="G38" s="264">
        <v>0</v>
      </c>
      <c r="H38" s="264">
        <f t="shared" si="19"/>
        <v>0</v>
      </c>
      <c r="I38" s="264">
        <f t="shared" si="20"/>
        <v>52.385</v>
      </c>
      <c r="J38" s="264">
        <f t="shared" si="21"/>
        <v>14.405875</v>
      </c>
      <c r="K38" s="264">
        <f t="shared" si="22"/>
        <v>2.75</v>
      </c>
      <c r="L38" s="264">
        <f t="shared" si="23"/>
        <v>104.77</v>
      </c>
      <c r="M38" s="264">
        <f t="shared" si="24"/>
        <v>14.405875</v>
      </c>
      <c r="N38" s="264">
        <f t="shared" si="25"/>
        <v>1.375</v>
      </c>
      <c r="O38" s="264"/>
      <c r="P38" s="264"/>
      <c r="Q38" s="264">
        <v>0</v>
      </c>
    </row>
    <row r="39" spans="1:17" s="187" customFormat="1" ht="12" customHeight="1">
      <c r="A39" s="184"/>
      <c r="B39" s="192" t="s">
        <v>402</v>
      </c>
      <c r="C39" s="276">
        <v>5.081444</v>
      </c>
      <c r="D39" s="276">
        <v>0.0704335</v>
      </c>
      <c r="E39" s="264">
        <f t="shared" si="18"/>
        <v>0.1386092221030085</v>
      </c>
      <c r="F39" s="264">
        <v>2.498</v>
      </c>
      <c r="G39" s="264">
        <v>0</v>
      </c>
      <c r="H39" s="264">
        <f t="shared" si="19"/>
        <v>0</v>
      </c>
      <c r="I39" s="264">
        <f t="shared" si="20"/>
        <v>2.498</v>
      </c>
      <c r="J39" s="264">
        <f t="shared" si="21"/>
        <v>0.6869500000000001</v>
      </c>
      <c r="K39" s="264">
        <f t="shared" si="22"/>
        <v>2.75</v>
      </c>
      <c r="L39" s="264">
        <f t="shared" si="23"/>
        <v>4.996</v>
      </c>
      <c r="M39" s="264">
        <f t="shared" si="24"/>
        <v>0.6869500000000001</v>
      </c>
      <c r="N39" s="264">
        <f t="shared" si="25"/>
        <v>1.375</v>
      </c>
      <c r="O39" s="264"/>
      <c r="P39" s="264"/>
      <c r="Q39" s="264">
        <v>0</v>
      </c>
    </row>
    <row r="40" spans="1:17" s="187" customFormat="1" ht="12" customHeight="1">
      <c r="A40" s="184"/>
      <c r="B40" s="192" t="s">
        <v>404</v>
      </c>
      <c r="C40" s="276">
        <v>102.378452</v>
      </c>
      <c r="D40" s="276">
        <v>10.9394398</v>
      </c>
      <c r="E40" s="264">
        <f t="shared" si="18"/>
        <v>1.0685295183013708</v>
      </c>
      <c r="F40" s="264">
        <v>46.467</v>
      </c>
      <c r="G40" s="264">
        <v>0</v>
      </c>
      <c r="H40" s="264">
        <f t="shared" si="19"/>
        <v>0</v>
      </c>
      <c r="I40" s="264">
        <f t="shared" si="20"/>
        <v>46.467</v>
      </c>
      <c r="J40" s="264">
        <f t="shared" si="21"/>
        <v>12.778425</v>
      </c>
      <c r="K40" s="264">
        <f t="shared" si="22"/>
        <v>2.75</v>
      </c>
      <c r="L40" s="264">
        <f t="shared" si="23"/>
        <v>92.934</v>
      </c>
      <c r="M40" s="264">
        <f t="shared" si="24"/>
        <v>12.778425</v>
      </c>
      <c r="N40" s="264">
        <f t="shared" si="25"/>
        <v>1.375</v>
      </c>
      <c r="O40" s="264"/>
      <c r="P40" s="264"/>
      <c r="Q40" s="264">
        <v>0</v>
      </c>
    </row>
    <row r="41" spans="1:17" s="187" customFormat="1" ht="12" customHeight="1">
      <c r="A41" s="184"/>
      <c r="B41" s="192" t="s">
        <v>519</v>
      </c>
      <c r="C41" s="276">
        <v>1.98492</v>
      </c>
      <c r="D41" s="276">
        <v>0.2084966</v>
      </c>
      <c r="E41" s="264">
        <f t="shared" si="18"/>
        <v>1.0504030389134071</v>
      </c>
      <c r="F41" s="264">
        <v>0</v>
      </c>
      <c r="G41" s="264">
        <v>0</v>
      </c>
      <c r="H41" s="264">
        <v>0</v>
      </c>
      <c r="I41" s="264">
        <f t="shared" si="20"/>
        <v>0</v>
      </c>
      <c r="J41" s="264">
        <f t="shared" si="21"/>
        <v>0</v>
      </c>
      <c r="K41" s="264">
        <v>0</v>
      </c>
      <c r="L41" s="264">
        <f t="shared" si="23"/>
        <v>0</v>
      </c>
      <c r="M41" s="264">
        <f t="shared" si="24"/>
        <v>0</v>
      </c>
      <c r="N41" s="264">
        <v>0</v>
      </c>
      <c r="O41" s="264"/>
      <c r="P41" s="264"/>
      <c r="Q41" s="264"/>
    </row>
    <row r="42" spans="1:17" s="187" customFormat="1" ht="12" customHeight="1">
      <c r="A42" s="184"/>
      <c r="B42" s="192" t="s">
        <v>522</v>
      </c>
      <c r="C42" s="276">
        <v>7.939771</v>
      </c>
      <c r="D42" s="276">
        <v>0.0500472</v>
      </c>
      <c r="E42" s="264">
        <f t="shared" si="18"/>
        <v>0.06303355600558253</v>
      </c>
      <c r="F42" s="264">
        <v>5.728</v>
      </c>
      <c r="G42" s="264">
        <v>0</v>
      </c>
      <c r="H42" s="264">
        <f t="shared" si="19"/>
        <v>0</v>
      </c>
      <c r="I42" s="264">
        <f t="shared" si="20"/>
        <v>5.728</v>
      </c>
      <c r="J42" s="264">
        <f t="shared" si="21"/>
        <v>1.5752</v>
      </c>
      <c r="K42" s="264">
        <f t="shared" si="22"/>
        <v>2.75</v>
      </c>
      <c r="L42" s="264">
        <f t="shared" si="23"/>
        <v>11.456</v>
      </c>
      <c r="M42" s="264">
        <f t="shared" si="24"/>
        <v>1.5752</v>
      </c>
      <c r="N42" s="264">
        <f t="shared" si="25"/>
        <v>1.375</v>
      </c>
      <c r="O42" s="264"/>
      <c r="P42" s="264"/>
      <c r="Q42" s="264"/>
    </row>
    <row r="43" spans="1:17" s="187" customFormat="1" ht="12.75">
      <c r="A43" s="184"/>
      <c r="B43" s="192" t="s">
        <v>405</v>
      </c>
      <c r="C43" s="276">
        <v>6.001426</v>
      </c>
      <c r="D43" s="276">
        <v>0.1573359</v>
      </c>
      <c r="E43" s="264">
        <f t="shared" si="18"/>
        <v>0.2621641923102942</v>
      </c>
      <c r="F43" s="264">
        <v>2.875</v>
      </c>
      <c r="G43" s="264">
        <v>0</v>
      </c>
      <c r="H43" s="264">
        <f>G43/F43*10</f>
        <v>0</v>
      </c>
      <c r="I43" s="264">
        <f t="shared" si="20"/>
        <v>2.875</v>
      </c>
      <c r="J43" s="264">
        <f t="shared" si="21"/>
        <v>0.790625</v>
      </c>
      <c r="K43" s="264">
        <f t="shared" si="22"/>
        <v>2.75</v>
      </c>
      <c r="L43" s="264">
        <f aca="true" t="shared" si="26" ref="L43:M45">F43+I43</f>
        <v>5.75</v>
      </c>
      <c r="M43" s="264">
        <f t="shared" si="26"/>
        <v>0.790625</v>
      </c>
      <c r="N43" s="264">
        <f>M43/L43*10</f>
        <v>1.375</v>
      </c>
      <c r="O43" s="264"/>
      <c r="P43" s="264"/>
      <c r="Q43" s="264">
        <v>0</v>
      </c>
    </row>
    <row r="44" spans="1:17" s="187" customFormat="1" ht="12.75">
      <c r="A44" s="184"/>
      <c r="B44" s="192" t="s">
        <v>399</v>
      </c>
      <c r="C44" s="276">
        <v>0</v>
      </c>
      <c r="D44" s="276">
        <v>0</v>
      </c>
      <c r="E44" s="264">
        <v>0</v>
      </c>
      <c r="F44" s="264">
        <v>0.031</v>
      </c>
      <c r="G44" s="264">
        <v>0</v>
      </c>
      <c r="H44" s="264">
        <f>G44/F44*10</f>
        <v>0</v>
      </c>
      <c r="I44" s="264">
        <f t="shared" si="20"/>
        <v>0.031</v>
      </c>
      <c r="J44" s="264">
        <f t="shared" si="21"/>
        <v>0.008525</v>
      </c>
      <c r="K44" s="264">
        <f t="shared" si="22"/>
        <v>2.7499999999999996</v>
      </c>
      <c r="L44" s="264">
        <f t="shared" si="26"/>
        <v>0.062</v>
      </c>
      <c r="M44" s="264">
        <f t="shared" si="26"/>
        <v>0.008525</v>
      </c>
      <c r="N44" s="264">
        <f>M44/L44*10</f>
        <v>1.3749999999999998</v>
      </c>
      <c r="O44" s="264"/>
      <c r="P44" s="264"/>
      <c r="Q44" s="264">
        <v>0</v>
      </c>
    </row>
    <row r="45" spans="1:17" s="187" customFormat="1" ht="12" customHeight="1">
      <c r="A45" s="184"/>
      <c r="B45" s="192" t="s">
        <v>401</v>
      </c>
      <c r="C45" s="276">
        <v>0</v>
      </c>
      <c r="D45" s="276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f t="shared" si="20"/>
        <v>0</v>
      </c>
      <c r="J45" s="264">
        <f t="shared" si="21"/>
        <v>0</v>
      </c>
      <c r="K45" s="264">
        <v>0</v>
      </c>
      <c r="L45" s="264">
        <f t="shared" si="26"/>
        <v>0</v>
      </c>
      <c r="M45" s="264">
        <f t="shared" si="26"/>
        <v>0</v>
      </c>
      <c r="N45" s="264">
        <v>0</v>
      </c>
      <c r="O45" s="264"/>
      <c r="P45" s="264"/>
      <c r="Q45" s="264">
        <v>0</v>
      </c>
    </row>
    <row r="46" spans="1:17" s="187" customFormat="1" ht="12" customHeight="1">
      <c r="A46" s="184"/>
      <c r="B46" s="192" t="s">
        <v>593</v>
      </c>
      <c r="C46" s="276"/>
      <c r="D46" s="276"/>
      <c r="E46" s="264">
        <v>0</v>
      </c>
      <c r="F46" s="264">
        <v>3.528</v>
      </c>
      <c r="G46" s="264">
        <v>0</v>
      </c>
      <c r="H46" s="264">
        <f t="shared" si="19"/>
        <v>0</v>
      </c>
      <c r="I46" s="264">
        <f t="shared" si="20"/>
        <v>3.528</v>
      </c>
      <c r="J46" s="264">
        <f t="shared" si="21"/>
        <v>0.9702</v>
      </c>
      <c r="K46" s="264">
        <f t="shared" si="22"/>
        <v>2.7499999999999996</v>
      </c>
      <c r="L46" s="264"/>
      <c r="M46" s="264"/>
      <c r="N46" s="264"/>
      <c r="O46" s="264"/>
      <c r="P46" s="264"/>
      <c r="Q46" s="264"/>
    </row>
    <row r="47" spans="1:17" s="187" customFormat="1" ht="12" customHeight="1">
      <c r="A47" s="184"/>
      <c r="B47" s="192" t="s">
        <v>594</v>
      </c>
      <c r="C47" s="276"/>
      <c r="D47" s="276"/>
      <c r="E47" s="264">
        <v>0</v>
      </c>
      <c r="F47" s="264">
        <v>0.536</v>
      </c>
      <c r="G47" s="264">
        <v>0</v>
      </c>
      <c r="H47" s="264">
        <f t="shared" si="19"/>
        <v>0</v>
      </c>
      <c r="I47" s="264">
        <f t="shared" si="20"/>
        <v>0.536</v>
      </c>
      <c r="J47" s="264">
        <f t="shared" si="21"/>
        <v>0.14740000000000003</v>
      </c>
      <c r="K47" s="264">
        <f t="shared" si="22"/>
        <v>2.75</v>
      </c>
      <c r="L47" s="264"/>
      <c r="M47" s="264"/>
      <c r="N47" s="264"/>
      <c r="O47" s="264"/>
      <c r="P47" s="264"/>
      <c r="Q47" s="264"/>
    </row>
    <row r="48" spans="1:17" s="187" customFormat="1" ht="12" customHeight="1">
      <c r="A48" s="184"/>
      <c r="B48" s="192" t="s">
        <v>595</v>
      </c>
      <c r="C48" s="276"/>
      <c r="D48" s="276"/>
      <c r="E48" s="264">
        <v>0</v>
      </c>
      <c r="F48" s="264">
        <v>20.233</v>
      </c>
      <c r="G48" s="264">
        <v>0</v>
      </c>
      <c r="H48" s="264">
        <f t="shared" si="19"/>
        <v>0</v>
      </c>
      <c r="I48" s="264">
        <f t="shared" si="20"/>
        <v>20.233</v>
      </c>
      <c r="J48" s="264">
        <f t="shared" si="21"/>
        <v>5.564075000000001</v>
      </c>
      <c r="K48" s="264">
        <f t="shared" si="22"/>
        <v>2.75</v>
      </c>
      <c r="L48" s="264"/>
      <c r="M48" s="264"/>
      <c r="N48" s="264"/>
      <c r="O48" s="264"/>
      <c r="P48" s="264"/>
      <c r="Q48" s="264"/>
    </row>
    <row r="49" spans="1:17" s="187" customFormat="1" ht="12" customHeight="1">
      <c r="A49" s="184"/>
      <c r="B49" s="192" t="s">
        <v>403</v>
      </c>
      <c r="C49" s="276">
        <v>0</v>
      </c>
      <c r="D49" s="276">
        <v>0</v>
      </c>
      <c r="E49" s="264">
        <v>0</v>
      </c>
      <c r="F49" s="264">
        <v>0</v>
      </c>
      <c r="G49" s="264">
        <v>0</v>
      </c>
      <c r="H49" s="264">
        <v>0</v>
      </c>
      <c r="I49" s="264">
        <f t="shared" si="20"/>
        <v>0</v>
      </c>
      <c r="J49" s="264">
        <f t="shared" si="21"/>
        <v>0</v>
      </c>
      <c r="K49" s="264">
        <v>0</v>
      </c>
      <c r="L49" s="264">
        <f>F49+I49</f>
        <v>0</v>
      </c>
      <c r="M49" s="264">
        <f>G49+J49</f>
        <v>0</v>
      </c>
      <c r="N49" s="264">
        <v>0</v>
      </c>
      <c r="O49" s="264"/>
      <c r="P49" s="264"/>
      <c r="Q49" s="264">
        <v>0</v>
      </c>
    </row>
    <row r="50" spans="1:17" s="187" customFormat="1" ht="12.75">
      <c r="A50" s="184"/>
      <c r="B50" s="190" t="s">
        <v>31</v>
      </c>
      <c r="C50" s="271">
        <f>SUM(C31:C48)</f>
        <v>640.117503</v>
      </c>
      <c r="D50" s="271">
        <f>SUM(D31:D48)</f>
        <v>89.7249236</v>
      </c>
      <c r="E50" s="273">
        <f>D50/C50*10</f>
        <v>1.4016945823148346</v>
      </c>
      <c r="F50" s="271">
        <f>SUM(F31:F48)</f>
        <v>260.42999999999995</v>
      </c>
      <c r="G50" s="271">
        <f>SUM(G31:G48)</f>
        <v>0</v>
      </c>
      <c r="H50" s="273">
        <f>G50/F50*10</f>
        <v>0</v>
      </c>
      <c r="I50" s="271">
        <f>SUM(I31:I48)</f>
        <v>260.42999999999995</v>
      </c>
      <c r="J50" s="271">
        <f>SUM(J31:J48)</f>
        <v>71.61825000000002</v>
      </c>
      <c r="K50" s="273">
        <f>J50/I50*10</f>
        <v>2.7500000000000013</v>
      </c>
      <c r="L50" s="271">
        <f>SUM(L31:L48)</f>
        <v>422.946</v>
      </c>
      <c r="M50" s="271">
        <f>SUM(M31:M48)</f>
        <v>58.155075</v>
      </c>
      <c r="N50" s="277">
        <f>M50/L50*10</f>
        <v>1.3749999999999998</v>
      </c>
      <c r="O50" s="271">
        <f>SUM(O31:O48)</f>
        <v>0</v>
      </c>
      <c r="P50" s="271">
        <f>SUM(P31:P48)</f>
        <v>0</v>
      </c>
      <c r="Q50" s="277">
        <v>0</v>
      </c>
    </row>
    <row r="51" spans="1:17" s="187" customFormat="1" ht="12.75">
      <c r="A51" s="184" t="s">
        <v>30</v>
      </c>
      <c r="B51" s="182" t="s">
        <v>406</v>
      </c>
      <c r="C51" s="276"/>
      <c r="D51" s="276"/>
      <c r="E51" s="185"/>
      <c r="F51" s="272"/>
      <c r="G51" s="272"/>
      <c r="H51" s="270"/>
      <c r="I51" s="272"/>
      <c r="J51" s="272"/>
      <c r="K51" s="270"/>
      <c r="L51" s="275"/>
      <c r="M51" s="275"/>
      <c r="N51" s="275"/>
      <c r="O51" s="275"/>
      <c r="P51" s="275"/>
      <c r="Q51" s="196"/>
    </row>
    <row r="52" spans="1:17" s="187" customFormat="1" ht="12.75">
      <c r="A52" s="184"/>
      <c r="B52" s="192" t="s">
        <v>407</v>
      </c>
      <c r="C52" s="276">
        <v>2860.74176</v>
      </c>
      <c r="D52" s="276">
        <v>533.969152</v>
      </c>
      <c r="E52" s="264">
        <f>D52/C52*10</f>
        <v>1.8665409072086256</v>
      </c>
      <c r="F52" s="264">
        <v>1476.787</v>
      </c>
      <c r="G52" s="264">
        <v>281.442</v>
      </c>
      <c r="H52" s="264">
        <f>G52/F52*10</f>
        <v>1.9057724641400553</v>
      </c>
      <c r="I52" s="264">
        <f>F52</f>
        <v>1476.787</v>
      </c>
      <c r="J52" s="264">
        <f>I52*H52/10*1.1</f>
        <v>309.5862</v>
      </c>
      <c r="K52" s="264">
        <f>J52/I52*10</f>
        <v>2.096349710554061</v>
      </c>
      <c r="L52" s="264">
        <f>I52+F52</f>
        <v>2953.574</v>
      </c>
      <c r="M52" s="264">
        <f>J52+G52</f>
        <v>591.0282</v>
      </c>
      <c r="N52" s="264">
        <f>M52/L52*10</f>
        <v>2.001061087347058</v>
      </c>
      <c r="O52" s="194">
        <v>7053</v>
      </c>
      <c r="P52" s="194">
        <v>1510.59</v>
      </c>
      <c r="Q52" s="264">
        <f>P52/O52*10</f>
        <v>2.1417694598043386</v>
      </c>
    </row>
    <row r="53" spans="1:17" s="187" customFormat="1" ht="12.75">
      <c r="A53" s="184"/>
      <c r="B53" s="192" t="s">
        <v>454</v>
      </c>
      <c r="C53" s="276">
        <v>468.425272</v>
      </c>
      <c r="D53" s="276">
        <v>81.5137525</v>
      </c>
      <c r="E53" s="264">
        <f>D53/C53*10</f>
        <v>1.740165558360395</v>
      </c>
      <c r="F53" s="264">
        <v>458.456</v>
      </c>
      <c r="G53" s="264">
        <v>126.089</v>
      </c>
      <c r="H53" s="264">
        <f>G53/F53*10</f>
        <v>2.7502966478789674</v>
      </c>
      <c r="I53" s="264">
        <f>F53</f>
        <v>458.456</v>
      </c>
      <c r="J53" s="264">
        <f>I53*H53/10*1.1</f>
        <v>138.6979</v>
      </c>
      <c r="K53" s="264">
        <f>J53/I53*10</f>
        <v>3.0253263126668646</v>
      </c>
      <c r="L53" s="264">
        <f>I53+F53</f>
        <v>916.912</v>
      </c>
      <c r="M53" s="264">
        <f>J53+G53</f>
        <v>264.7869</v>
      </c>
      <c r="N53" s="264">
        <f>M53/L53*10</f>
        <v>2.887811480272916</v>
      </c>
      <c r="O53" s="275">
        <v>0</v>
      </c>
      <c r="P53" s="275">
        <v>0</v>
      </c>
      <c r="Q53" s="196">
        <v>0</v>
      </c>
    </row>
    <row r="54" spans="1:17" s="187" customFormat="1" ht="12.75">
      <c r="A54" s="184"/>
      <c r="B54" s="195" t="s">
        <v>31</v>
      </c>
      <c r="C54" s="278">
        <f>SUM(C52:C53)</f>
        <v>3329.167032</v>
      </c>
      <c r="D54" s="278">
        <f>SUM(D52:D53)</f>
        <v>615.4829045</v>
      </c>
      <c r="E54" s="272">
        <f>D54/C54*10</f>
        <v>1.8487594602012147</v>
      </c>
      <c r="F54" s="16">
        <f>SUM(F52:F53)</f>
        <v>1935.243</v>
      </c>
      <c r="G54" s="16">
        <f>SUM(G52:G53)</f>
        <v>407.531</v>
      </c>
      <c r="H54" s="272">
        <f>G54/F54*10</f>
        <v>2.1058389049850588</v>
      </c>
      <c r="I54" s="16">
        <f>SUM(I52:I53)</f>
        <v>1935.243</v>
      </c>
      <c r="J54" s="16">
        <f>SUM(J52:J53)</f>
        <v>448.2841</v>
      </c>
      <c r="K54" s="272">
        <f>J54/I54*10</f>
        <v>2.3164227954835646</v>
      </c>
      <c r="L54" s="16">
        <f>SUM(L52:L53)</f>
        <v>3870.486</v>
      </c>
      <c r="M54" s="16">
        <f>SUM(M52:M53)</f>
        <v>855.8151</v>
      </c>
      <c r="N54" s="275">
        <f>M54/L54*10</f>
        <v>2.211130850234312</v>
      </c>
      <c r="O54" s="16">
        <f>SUM(O52:O53)</f>
        <v>7053</v>
      </c>
      <c r="P54" s="16">
        <f>SUM(P52:P53)</f>
        <v>1510.59</v>
      </c>
      <c r="Q54" s="275">
        <f>P54/O54*10</f>
        <v>2.1417694598043386</v>
      </c>
    </row>
    <row r="55" spans="1:17" s="187" customFormat="1" ht="12.75">
      <c r="A55" s="184" t="s">
        <v>131</v>
      </c>
      <c r="B55" s="182" t="s">
        <v>408</v>
      </c>
      <c r="C55" s="276"/>
      <c r="D55" s="276"/>
      <c r="E55" s="270"/>
      <c r="F55" s="272"/>
      <c r="G55" s="272"/>
      <c r="H55" s="270"/>
      <c r="I55" s="272"/>
      <c r="J55" s="272"/>
      <c r="K55" s="270"/>
      <c r="L55" s="275"/>
      <c r="M55" s="275"/>
      <c r="N55" s="275"/>
      <c r="O55" s="275"/>
      <c r="P55" s="275"/>
      <c r="Q55" s="196"/>
    </row>
    <row r="56" spans="1:17" s="187" customFormat="1" ht="12.75">
      <c r="A56" s="184"/>
      <c r="B56" s="192" t="s">
        <v>409</v>
      </c>
      <c r="C56" s="276">
        <v>4.237046</v>
      </c>
      <c r="D56" s="276">
        <v>0.3585005</v>
      </c>
      <c r="E56" s="270">
        <f aca="true" t="shared" si="27" ref="E56:E69">D56/C56*10</f>
        <v>0.846109530082987</v>
      </c>
      <c r="F56" s="264">
        <v>8.283</v>
      </c>
      <c r="G56" s="264">
        <v>0</v>
      </c>
      <c r="H56" s="264">
        <f aca="true" t="shared" si="28" ref="H56:H69">G56/F56*10</f>
        <v>0</v>
      </c>
      <c r="I56" s="264">
        <f>F56</f>
        <v>8.283</v>
      </c>
      <c r="J56" s="264">
        <f>I56*0.275</f>
        <v>2.277825</v>
      </c>
      <c r="K56" s="264">
        <f aca="true" t="shared" si="29" ref="K56:K69">J56/I56*10</f>
        <v>2.75</v>
      </c>
      <c r="L56" s="264">
        <f>I56+F56</f>
        <v>16.566</v>
      </c>
      <c r="M56" s="264">
        <f>J56+G56</f>
        <v>2.277825</v>
      </c>
      <c r="N56" s="264">
        <f aca="true" t="shared" si="30" ref="N56:N69">M56/L56*10</f>
        <v>1.375</v>
      </c>
      <c r="O56" s="194">
        <v>1224.62</v>
      </c>
      <c r="P56" s="194">
        <v>336.77</v>
      </c>
      <c r="Q56" s="264">
        <f>P56/O56*10</f>
        <v>2.749995917100815</v>
      </c>
    </row>
    <row r="57" spans="1:17" s="187" customFormat="1" ht="12.75">
      <c r="A57" s="184"/>
      <c r="B57" s="192" t="s">
        <v>410</v>
      </c>
      <c r="C57" s="276">
        <v>35.200336</v>
      </c>
      <c r="D57" s="276">
        <v>-0.3864766</v>
      </c>
      <c r="E57" s="270">
        <f t="shared" si="27"/>
        <v>-0.10979344060806692</v>
      </c>
      <c r="F57" s="264">
        <v>15.881</v>
      </c>
      <c r="G57" s="264">
        <v>0</v>
      </c>
      <c r="H57" s="264">
        <f t="shared" si="28"/>
        <v>0</v>
      </c>
      <c r="I57" s="264">
        <f aca="true" t="shared" si="31" ref="I57:I71">F57</f>
        <v>15.881</v>
      </c>
      <c r="J57" s="264">
        <f aca="true" t="shared" si="32" ref="J57:J71">I57*0.275</f>
        <v>4.367275</v>
      </c>
      <c r="K57" s="264">
        <f t="shared" si="29"/>
        <v>2.75</v>
      </c>
      <c r="L57" s="264">
        <f aca="true" t="shared" si="33" ref="L57:L71">I57+F57</f>
        <v>31.762</v>
      </c>
      <c r="M57" s="264">
        <f aca="true" t="shared" si="34" ref="M57:M71">J57+G57</f>
        <v>4.367275</v>
      </c>
      <c r="N57" s="264">
        <f t="shared" si="30"/>
        <v>1.375</v>
      </c>
      <c r="O57" s="275"/>
      <c r="P57" s="275"/>
      <c r="Q57" s="196"/>
    </row>
    <row r="58" spans="1:17" s="187" customFormat="1" ht="12.75">
      <c r="A58" s="184"/>
      <c r="B58" s="192" t="s">
        <v>411</v>
      </c>
      <c r="C58" s="276">
        <v>5.315819</v>
      </c>
      <c r="D58" s="276">
        <v>-0.9161964</v>
      </c>
      <c r="E58" s="270">
        <f t="shared" si="27"/>
        <v>-1.723528208917572</v>
      </c>
      <c r="F58" s="264">
        <v>0.857</v>
      </c>
      <c r="G58" s="264">
        <v>0</v>
      </c>
      <c r="H58" s="264">
        <f t="shared" si="28"/>
        <v>0</v>
      </c>
      <c r="I58" s="264">
        <f t="shared" si="31"/>
        <v>0.857</v>
      </c>
      <c r="J58" s="264">
        <f t="shared" si="32"/>
        <v>0.23567500000000002</v>
      </c>
      <c r="K58" s="264">
        <f t="shared" si="29"/>
        <v>2.75</v>
      </c>
      <c r="L58" s="264">
        <f t="shared" si="33"/>
        <v>1.714</v>
      </c>
      <c r="M58" s="264">
        <f t="shared" si="34"/>
        <v>0.23567500000000002</v>
      </c>
      <c r="N58" s="264">
        <f t="shared" si="30"/>
        <v>1.375</v>
      </c>
      <c r="O58" s="275"/>
      <c r="P58" s="275"/>
      <c r="Q58" s="196"/>
    </row>
    <row r="59" spans="1:17" s="187" customFormat="1" ht="12.75">
      <c r="A59" s="184"/>
      <c r="B59" s="192" t="s">
        <v>412</v>
      </c>
      <c r="C59" s="276">
        <v>16.343575</v>
      </c>
      <c r="D59" s="276">
        <v>0.0673978</v>
      </c>
      <c r="E59" s="270">
        <f t="shared" si="27"/>
        <v>0.04123810121102634</v>
      </c>
      <c r="F59" s="264">
        <v>7.166</v>
      </c>
      <c r="G59" s="264">
        <v>0</v>
      </c>
      <c r="H59" s="264">
        <f t="shared" si="28"/>
        <v>0</v>
      </c>
      <c r="I59" s="264">
        <f t="shared" si="31"/>
        <v>7.166</v>
      </c>
      <c r="J59" s="264">
        <f t="shared" si="32"/>
        <v>1.9706500000000002</v>
      </c>
      <c r="K59" s="264">
        <f t="shared" si="29"/>
        <v>2.75</v>
      </c>
      <c r="L59" s="264">
        <f t="shared" si="33"/>
        <v>14.332</v>
      </c>
      <c r="M59" s="264">
        <f t="shared" si="34"/>
        <v>1.9706500000000002</v>
      </c>
      <c r="N59" s="264">
        <f t="shared" si="30"/>
        <v>1.375</v>
      </c>
      <c r="O59" s="275"/>
      <c r="P59" s="275"/>
      <c r="Q59" s="196"/>
    </row>
    <row r="60" spans="1:17" s="187" customFormat="1" ht="12.75">
      <c r="A60" s="184"/>
      <c r="B60" s="192" t="s">
        <v>413</v>
      </c>
      <c r="C60" s="276">
        <v>8.847261</v>
      </c>
      <c r="D60" s="276">
        <v>0.7312252</v>
      </c>
      <c r="E60" s="270">
        <f t="shared" si="27"/>
        <v>0.8264989582651626</v>
      </c>
      <c r="F60" s="264">
        <v>1.042</v>
      </c>
      <c r="G60" s="264">
        <v>0</v>
      </c>
      <c r="H60" s="264">
        <f t="shared" si="28"/>
        <v>0</v>
      </c>
      <c r="I60" s="264">
        <f t="shared" si="31"/>
        <v>1.042</v>
      </c>
      <c r="J60" s="264">
        <f t="shared" si="32"/>
        <v>0.28655</v>
      </c>
      <c r="K60" s="264">
        <f t="shared" si="29"/>
        <v>2.75</v>
      </c>
      <c r="L60" s="264">
        <f t="shared" si="33"/>
        <v>2.084</v>
      </c>
      <c r="M60" s="264">
        <f t="shared" si="34"/>
        <v>0.28655</v>
      </c>
      <c r="N60" s="264">
        <f t="shared" si="30"/>
        <v>1.375</v>
      </c>
      <c r="O60" s="275"/>
      <c r="P60" s="275"/>
      <c r="Q60" s="196"/>
    </row>
    <row r="61" spans="1:17" s="187" customFormat="1" ht="12.75">
      <c r="A61" s="184"/>
      <c r="B61" s="192" t="s">
        <v>414</v>
      </c>
      <c r="C61" s="276">
        <v>7.625258</v>
      </c>
      <c r="D61" s="276">
        <v>0.4015749</v>
      </c>
      <c r="E61" s="270">
        <f t="shared" si="27"/>
        <v>0.5266377872066755</v>
      </c>
      <c r="F61" s="264">
        <v>3.025</v>
      </c>
      <c r="G61" s="264">
        <v>0</v>
      </c>
      <c r="H61" s="264">
        <f t="shared" si="28"/>
        <v>0</v>
      </c>
      <c r="I61" s="264">
        <f t="shared" si="31"/>
        <v>3.025</v>
      </c>
      <c r="J61" s="264">
        <f t="shared" si="32"/>
        <v>0.831875</v>
      </c>
      <c r="K61" s="264">
        <f t="shared" si="29"/>
        <v>2.75</v>
      </c>
      <c r="L61" s="264">
        <f t="shared" si="33"/>
        <v>6.05</v>
      </c>
      <c r="M61" s="264">
        <f t="shared" si="34"/>
        <v>0.831875</v>
      </c>
      <c r="N61" s="264">
        <f t="shared" si="30"/>
        <v>1.375</v>
      </c>
      <c r="O61" s="275"/>
      <c r="P61" s="275"/>
      <c r="Q61" s="196"/>
    </row>
    <row r="62" spans="1:17" s="187" customFormat="1" ht="12.75">
      <c r="A62" s="184"/>
      <c r="B62" s="192" t="s">
        <v>415</v>
      </c>
      <c r="C62" s="276">
        <v>1.555332</v>
      </c>
      <c r="D62" s="276">
        <v>0.1748036</v>
      </c>
      <c r="E62" s="270">
        <f t="shared" si="27"/>
        <v>1.1238989489060858</v>
      </c>
      <c r="F62" s="264">
        <v>0.044</v>
      </c>
      <c r="G62" s="264">
        <v>0</v>
      </c>
      <c r="H62" s="264">
        <f t="shared" si="28"/>
        <v>0</v>
      </c>
      <c r="I62" s="264">
        <f t="shared" si="31"/>
        <v>0.044</v>
      </c>
      <c r="J62" s="264">
        <f t="shared" si="32"/>
        <v>0.0121</v>
      </c>
      <c r="K62" s="264">
        <f t="shared" si="29"/>
        <v>2.75</v>
      </c>
      <c r="L62" s="264">
        <f t="shared" si="33"/>
        <v>0.088</v>
      </c>
      <c r="M62" s="264">
        <f t="shared" si="34"/>
        <v>0.0121</v>
      </c>
      <c r="N62" s="264">
        <f t="shared" si="30"/>
        <v>1.375</v>
      </c>
      <c r="O62" s="275"/>
      <c r="P62" s="275"/>
      <c r="Q62" s="196"/>
    </row>
    <row r="63" spans="1:17" s="187" customFormat="1" ht="12.75">
      <c r="A63" s="184"/>
      <c r="B63" s="192" t="s">
        <v>416</v>
      </c>
      <c r="C63" s="276">
        <v>1.69973</v>
      </c>
      <c r="D63" s="276">
        <v>0.0584554</v>
      </c>
      <c r="E63" s="270">
        <f t="shared" si="27"/>
        <v>0.3439099151041636</v>
      </c>
      <c r="F63" s="264">
        <v>1.064</v>
      </c>
      <c r="G63" s="264">
        <v>0</v>
      </c>
      <c r="H63" s="264">
        <f t="shared" si="28"/>
        <v>0</v>
      </c>
      <c r="I63" s="264">
        <f t="shared" si="31"/>
        <v>1.064</v>
      </c>
      <c r="J63" s="264">
        <f t="shared" si="32"/>
        <v>0.2926</v>
      </c>
      <c r="K63" s="264">
        <f t="shared" si="29"/>
        <v>2.75</v>
      </c>
      <c r="L63" s="264">
        <f t="shared" si="33"/>
        <v>2.128</v>
      </c>
      <c r="M63" s="264">
        <f t="shared" si="34"/>
        <v>0.2926</v>
      </c>
      <c r="N63" s="264">
        <f t="shared" si="30"/>
        <v>1.375</v>
      </c>
      <c r="O63" s="275"/>
      <c r="P63" s="275"/>
      <c r="Q63" s="196"/>
    </row>
    <row r="64" spans="1:17" s="187" customFormat="1" ht="12.75">
      <c r="A64" s="184"/>
      <c r="B64" s="192" t="s">
        <v>417</v>
      </c>
      <c r="C64" s="276">
        <v>37.570618</v>
      </c>
      <c r="D64" s="276">
        <v>1.9783668</v>
      </c>
      <c r="E64" s="270">
        <f t="shared" si="27"/>
        <v>0.5265728660625173</v>
      </c>
      <c r="F64" s="264">
        <v>14.716</v>
      </c>
      <c r="G64" s="264">
        <v>0</v>
      </c>
      <c r="H64" s="264">
        <f t="shared" si="28"/>
        <v>0</v>
      </c>
      <c r="I64" s="264">
        <f t="shared" si="31"/>
        <v>14.716</v>
      </c>
      <c r="J64" s="264">
        <f t="shared" si="32"/>
        <v>4.0469</v>
      </c>
      <c r="K64" s="264">
        <f t="shared" si="29"/>
        <v>2.75</v>
      </c>
      <c r="L64" s="264">
        <f t="shared" si="33"/>
        <v>29.432</v>
      </c>
      <c r="M64" s="264">
        <f t="shared" si="34"/>
        <v>4.0469</v>
      </c>
      <c r="N64" s="264">
        <f t="shared" si="30"/>
        <v>1.375</v>
      </c>
      <c r="O64" s="275"/>
      <c r="P64" s="275"/>
      <c r="Q64" s="196"/>
    </row>
    <row r="65" spans="1:17" s="187" customFormat="1" ht="12.75">
      <c r="A65" s="184"/>
      <c r="B65" s="192" t="s">
        <v>418</v>
      </c>
      <c r="C65" s="276">
        <v>8.100793</v>
      </c>
      <c r="D65" s="276">
        <v>0.318374</v>
      </c>
      <c r="E65" s="270">
        <f t="shared" si="27"/>
        <v>0.3930158442512974</v>
      </c>
      <c r="F65" s="264">
        <v>4.134</v>
      </c>
      <c r="G65" s="264">
        <v>0</v>
      </c>
      <c r="H65" s="264">
        <f t="shared" si="28"/>
        <v>0</v>
      </c>
      <c r="I65" s="264">
        <f t="shared" si="31"/>
        <v>4.134</v>
      </c>
      <c r="J65" s="264">
        <f t="shared" si="32"/>
        <v>1.1368500000000001</v>
      </c>
      <c r="K65" s="264">
        <f t="shared" si="29"/>
        <v>2.75</v>
      </c>
      <c r="L65" s="264">
        <f t="shared" si="33"/>
        <v>8.268</v>
      </c>
      <c r="M65" s="264">
        <f t="shared" si="34"/>
        <v>1.1368500000000001</v>
      </c>
      <c r="N65" s="264">
        <f t="shared" si="30"/>
        <v>1.375</v>
      </c>
      <c r="O65" s="275"/>
      <c r="P65" s="275"/>
      <c r="Q65" s="196"/>
    </row>
    <row r="66" spans="1:17" s="187" customFormat="1" ht="12.75">
      <c r="A66" s="184"/>
      <c r="B66" s="192" t="s">
        <v>419</v>
      </c>
      <c r="C66" s="276">
        <v>0</v>
      </c>
      <c r="D66" s="276">
        <v>0</v>
      </c>
      <c r="E66" s="270">
        <v>0</v>
      </c>
      <c r="F66" s="264">
        <v>3.562</v>
      </c>
      <c r="G66" s="264">
        <v>0</v>
      </c>
      <c r="H66" s="264">
        <f t="shared" si="28"/>
        <v>0</v>
      </c>
      <c r="I66" s="264">
        <f t="shared" si="31"/>
        <v>3.562</v>
      </c>
      <c r="J66" s="264">
        <f t="shared" si="32"/>
        <v>0.97955</v>
      </c>
      <c r="K66" s="264">
        <f t="shared" si="29"/>
        <v>2.75</v>
      </c>
      <c r="L66" s="264">
        <f t="shared" si="33"/>
        <v>7.124</v>
      </c>
      <c r="M66" s="264">
        <f t="shared" si="34"/>
        <v>0.97955</v>
      </c>
      <c r="N66" s="264">
        <f t="shared" si="30"/>
        <v>1.375</v>
      </c>
      <c r="O66" s="275"/>
      <c r="P66" s="275"/>
      <c r="Q66" s="196"/>
    </row>
    <row r="67" spans="1:17" s="187" customFormat="1" ht="12.75">
      <c r="A67" s="184"/>
      <c r="B67" s="192" t="s">
        <v>420</v>
      </c>
      <c r="C67" s="276">
        <v>13.809622</v>
      </c>
      <c r="D67" s="276">
        <v>0.5412293</v>
      </c>
      <c r="E67" s="270">
        <f t="shared" si="27"/>
        <v>0.3919218788175376</v>
      </c>
      <c r="F67" s="264">
        <v>12.541</v>
      </c>
      <c r="G67" s="264">
        <v>0</v>
      </c>
      <c r="H67" s="264">
        <f t="shared" si="28"/>
        <v>0</v>
      </c>
      <c r="I67" s="264">
        <f t="shared" si="31"/>
        <v>12.541</v>
      </c>
      <c r="J67" s="264">
        <f t="shared" si="32"/>
        <v>3.4487750000000004</v>
      </c>
      <c r="K67" s="264">
        <f t="shared" si="29"/>
        <v>2.75</v>
      </c>
      <c r="L67" s="264">
        <f t="shared" si="33"/>
        <v>25.082</v>
      </c>
      <c r="M67" s="264">
        <f t="shared" si="34"/>
        <v>3.4487750000000004</v>
      </c>
      <c r="N67" s="264">
        <f t="shared" si="30"/>
        <v>1.375</v>
      </c>
      <c r="O67" s="275"/>
      <c r="P67" s="275"/>
      <c r="Q67" s="196"/>
    </row>
    <row r="68" spans="1:17" s="187" customFormat="1" ht="12.75">
      <c r="A68" s="184"/>
      <c r="B68" s="192" t="s">
        <v>421</v>
      </c>
      <c r="C68" s="276">
        <v>1.799736</v>
      </c>
      <c r="D68" s="276">
        <v>-1.0363708</v>
      </c>
      <c r="E68" s="270">
        <f t="shared" si="27"/>
        <v>-5.758460129707913</v>
      </c>
      <c r="F68" s="264">
        <v>6.302</v>
      </c>
      <c r="G68" s="264">
        <v>0</v>
      </c>
      <c r="H68" s="264">
        <f t="shared" si="28"/>
        <v>0</v>
      </c>
      <c r="I68" s="264">
        <f t="shared" si="31"/>
        <v>6.302</v>
      </c>
      <c r="J68" s="264">
        <f t="shared" si="32"/>
        <v>1.73305</v>
      </c>
      <c r="K68" s="264">
        <f t="shared" si="29"/>
        <v>2.75</v>
      </c>
      <c r="L68" s="264">
        <f t="shared" si="33"/>
        <v>12.604</v>
      </c>
      <c r="M68" s="264">
        <f t="shared" si="34"/>
        <v>1.73305</v>
      </c>
      <c r="N68" s="264">
        <f t="shared" si="30"/>
        <v>1.375</v>
      </c>
      <c r="O68" s="275"/>
      <c r="P68" s="275"/>
      <c r="Q68" s="196"/>
    </row>
    <row r="69" spans="1:17" s="187" customFormat="1" ht="12.75">
      <c r="A69" s="184"/>
      <c r="B69" s="192" t="s">
        <v>422</v>
      </c>
      <c r="C69" s="276">
        <v>10.444037</v>
      </c>
      <c r="D69" s="276">
        <v>0.2961747</v>
      </c>
      <c r="E69" s="270">
        <f t="shared" si="27"/>
        <v>0.2835825840142083</v>
      </c>
      <c r="F69" s="264">
        <v>1.145</v>
      </c>
      <c r="G69" s="264">
        <v>0</v>
      </c>
      <c r="H69" s="264">
        <f t="shared" si="28"/>
        <v>0</v>
      </c>
      <c r="I69" s="264">
        <f t="shared" si="31"/>
        <v>1.145</v>
      </c>
      <c r="J69" s="264">
        <f t="shared" si="32"/>
        <v>0.314875</v>
      </c>
      <c r="K69" s="264">
        <f t="shared" si="29"/>
        <v>2.75</v>
      </c>
      <c r="L69" s="264">
        <f t="shared" si="33"/>
        <v>2.29</v>
      </c>
      <c r="M69" s="264">
        <f t="shared" si="34"/>
        <v>0.314875</v>
      </c>
      <c r="N69" s="264">
        <f t="shared" si="30"/>
        <v>1.375</v>
      </c>
      <c r="O69" s="275"/>
      <c r="P69" s="275"/>
      <c r="Q69" s="196"/>
    </row>
    <row r="70" spans="1:17" s="187" customFormat="1" ht="12.75">
      <c r="A70" s="184"/>
      <c r="B70" s="192" t="s">
        <v>608</v>
      </c>
      <c r="C70" s="276">
        <v>0</v>
      </c>
      <c r="D70" s="276">
        <v>3.5655445</v>
      </c>
      <c r="E70" s="270">
        <v>0</v>
      </c>
      <c r="F70" s="264"/>
      <c r="G70" s="264"/>
      <c r="H70" s="264"/>
      <c r="I70" s="264">
        <f t="shared" si="31"/>
        <v>0</v>
      </c>
      <c r="J70" s="264">
        <f t="shared" si="32"/>
        <v>0</v>
      </c>
      <c r="K70" s="264"/>
      <c r="L70" s="264"/>
      <c r="M70" s="264"/>
      <c r="N70" s="264"/>
      <c r="O70" s="275"/>
      <c r="P70" s="275"/>
      <c r="Q70" s="196"/>
    </row>
    <row r="71" spans="1:17" s="187" customFormat="1" ht="12.75">
      <c r="A71" s="184"/>
      <c r="B71" s="192" t="s">
        <v>455</v>
      </c>
      <c r="C71" s="276">
        <v>0</v>
      </c>
      <c r="D71" s="276">
        <v>0</v>
      </c>
      <c r="E71" s="270">
        <v>0</v>
      </c>
      <c r="F71" s="264">
        <v>0</v>
      </c>
      <c r="G71" s="264">
        <v>0</v>
      </c>
      <c r="H71" s="264">
        <v>0</v>
      </c>
      <c r="I71" s="264">
        <f t="shared" si="31"/>
        <v>0</v>
      </c>
      <c r="J71" s="264">
        <f t="shared" si="32"/>
        <v>0</v>
      </c>
      <c r="K71" s="264">
        <v>0</v>
      </c>
      <c r="L71" s="264">
        <f t="shared" si="33"/>
        <v>0</v>
      </c>
      <c r="M71" s="264">
        <f t="shared" si="34"/>
        <v>0</v>
      </c>
      <c r="N71" s="264">
        <v>0</v>
      </c>
      <c r="O71" s="275"/>
      <c r="P71" s="275"/>
      <c r="Q71" s="196"/>
    </row>
    <row r="72" spans="1:17" s="187" customFormat="1" ht="12.75">
      <c r="A72" s="184"/>
      <c r="B72" s="195" t="s">
        <v>31</v>
      </c>
      <c r="C72" s="278">
        <f>SUM(C56:C71)</f>
        <v>152.54916300000002</v>
      </c>
      <c r="D72" s="278">
        <f>SUM(D56:D71)</f>
        <v>6.1526029</v>
      </c>
      <c r="E72" s="272">
        <f>D72/C72*10</f>
        <v>0.4033193482680727</v>
      </c>
      <c r="F72" s="16">
        <f>SUM(F56:F71)</f>
        <v>79.76199999999999</v>
      </c>
      <c r="G72" s="16">
        <f>SUM(G56:G71)</f>
        <v>0</v>
      </c>
      <c r="H72" s="272">
        <f>G72/F72*10</f>
        <v>0</v>
      </c>
      <c r="I72" s="16">
        <f>SUM(I56:I71)</f>
        <v>79.76199999999999</v>
      </c>
      <c r="J72" s="16">
        <f>SUM(J56:J71)</f>
        <v>21.934550000000005</v>
      </c>
      <c r="K72" s="272">
        <f>J72/I72*10</f>
        <v>2.7500000000000013</v>
      </c>
      <c r="L72" s="16">
        <f>SUM(L56:L71)</f>
        <v>159.52399999999997</v>
      </c>
      <c r="M72" s="16">
        <f>SUM(M56:M71)</f>
        <v>21.934550000000005</v>
      </c>
      <c r="N72" s="275">
        <f>M72/L72*10</f>
        <v>1.3750000000000007</v>
      </c>
      <c r="O72" s="16">
        <f>SUM(O56:O71)</f>
        <v>1224.62</v>
      </c>
      <c r="P72" s="16">
        <f>SUM(P56:P71)</f>
        <v>336.77</v>
      </c>
      <c r="Q72" s="275">
        <f>P72/O72*10</f>
        <v>2.749995917100815</v>
      </c>
    </row>
    <row r="73" spans="1:17" s="187" customFormat="1" ht="12.75">
      <c r="A73" s="184" t="s">
        <v>129</v>
      </c>
      <c r="B73" s="182" t="s">
        <v>423</v>
      </c>
      <c r="C73" s="274"/>
      <c r="D73" s="276"/>
      <c r="E73" s="270"/>
      <c r="F73" s="272"/>
      <c r="G73" s="272"/>
      <c r="H73" s="270"/>
      <c r="I73" s="272"/>
      <c r="J73" s="272"/>
      <c r="K73" s="270"/>
      <c r="L73" s="275"/>
      <c r="M73" s="275"/>
      <c r="N73" s="275"/>
      <c r="O73" s="275"/>
      <c r="P73" s="275"/>
      <c r="Q73" s="196"/>
    </row>
    <row r="74" spans="1:17" s="187" customFormat="1" ht="12.75">
      <c r="A74" s="184"/>
      <c r="B74" s="192" t="s">
        <v>424</v>
      </c>
      <c r="C74" s="276">
        <v>243.447265</v>
      </c>
      <c r="D74" s="276">
        <v>89.0656747</v>
      </c>
      <c r="E74" s="270">
        <f>D74/C74*10</f>
        <v>3.658520242566701</v>
      </c>
      <c r="F74" s="264">
        <v>131.32</v>
      </c>
      <c r="G74" s="264">
        <v>48.326</v>
      </c>
      <c r="H74" s="264">
        <f>G74/F74*10</f>
        <v>3.6800182759671034</v>
      </c>
      <c r="I74" s="264">
        <v>100</v>
      </c>
      <c r="J74" s="264">
        <f>I74*H74/10</f>
        <v>36.80018275967103</v>
      </c>
      <c r="K74" s="264">
        <f>J74/I74*10</f>
        <v>3.680018275967103</v>
      </c>
      <c r="L74" s="264">
        <f>I74+F74</f>
        <v>231.32</v>
      </c>
      <c r="M74" s="264">
        <f>J74+G74</f>
        <v>85.12618275967102</v>
      </c>
      <c r="N74" s="264">
        <f>M74/L74*10</f>
        <v>3.680018275967103</v>
      </c>
      <c r="O74" s="194">
        <v>160</v>
      </c>
      <c r="P74" s="194">
        <f>O74*0.368</f>
        <v>58.879999999999995</v>
      </c>
      <c r="Q74" s="264">
        <f>P74/O74*10</f>
        <v>3.6799999999999997</v>
      </c>
    </row>
    <row r="75" spans="1:17" s="187" customFormat="1" ht="12.75">
      <c r="A75" s="184"/>
      <c r="B75" s="192" t="s">
        <v>425</v>
      </c>
      <c r="C75" s="276">
        <v>93.123595</v>
      </c>
      <c r="D75" s="276">
        <v>34.2691164</v>
      </c>
      <c r="E75" s="270">
        <f>D75/C75*10</f>
        <v>3.679960637258474</v>
      </c>
      <c r="F75" s="264">
        <v>55.45</v>
      </c>
      <c r="G75" s="264">
        <v>20.406</v>
      </c>
      <c r="H75" s="264">
        <f>G75/F75*10</f>
        <v>3.6800721370604146</v>
      </c>
      <c r="I75" s="264">
        <v>50</v>
      </c>
      <c r="J75" s="264">
        <f>I75*H75/10</f>
        <v>18.400360685302072</v>
      </c>
      <c r="K75" s="264">
        <f>J75/I75*10</f>
        <v>3.6800721370604146</v>
      </c>
      <c r="L75" s="264">
        <f>I75+F75</f>
        <v>105.45</v>
      </c>
      <c r="M75" s="264">
        <f>J75+G75</f>
        <v>38.80636068530207</v>
      </c>
      <c r="N75" s="264">
        <f>M75/L75*10</f>
        <v>3.6800721370604137</v>
      </c>
      <c r="O75" s="194">
        <v>160</v>
      </c>
      <c r="P75" s="194">
        <f>O75*0.368</f>
        <v>58.879999999999995</v>
      </c>
      <c r="Q75" s="264">
        <f>P75/O75*10</f>
        <v>3.6799999999999997</v>
      </c>
    </row>
    <row r="76" spans="1:17" s="187" customFormat="1" ht="12.75">
      <c r="A76" s="184"/>
      <c r="B76" s="195" t="s">
        <v>31</v>
      </c>
      <c r="C76" s="357">
        <f>SUM(C74:C75)</f>
        <v>336.57086</v>
      </c>
      <c r="D76" s="357">
        <f>SUM(D74:D75)</f>
        <v>123.3347911</v>
      </c>
      <c r="E76" s="272">
        <f>D76/C76*10</f>
        <v>3.6644524454672043</v>
      </c>
      <c r="F76" s="273">
        <f>SUM(F74:F75)</f>
        <v>186.76999999999998</v>
      </c>
      <c r="G76" s="273">
        <f>SUM(G74:G75)</f>
        <v>68.732</v>
      </c>
      <c r="H76" s="272">
        <f>G76/F76*10</f>
        <v>3.6800342667451953</v>
      </c>
      <c r="I76" s="273">
        <f>SUM(I74:I75)</f>
        <v>150</v>
      </c>
      <c r="J76" s="273">
        <f>SUM(J74:J75)</f>
        <v>55.20054344497311</v>
      </c>
      <c r="K76" s="272">
        <f>J76/I76*10</f>
        <v>3.6800362296648736</v>
      </c>
      <c r="L76" s="277">
        <f>SUM(L74:L75)</f>
        <v>336.77</v>
      </c>
      <c r="M76" s="277">
        <f>SUM(M74:M75)</f>
        <v>123.93254344497309</v>
      </c>
      <c r="N76" s="275">
        <f>M76/L76*10</f>
        <v>3.680035141045019</v>
      </c>
      <c r="O76" s="277">
        <f>SUM(O74:O75)</f>
        <v>320</v>
      </c>
      <c r="P76" s="277">
        <f>SUM(P74:P75)</f>
        <v>117.75999999999999</v>
      </c>
      <c r="Q76" s="275">
        <f>P76/O76*10</f>
        <v>3.6799999999999997</v>
      </c>
    </row>
    <row r="77" spans="1:17" s="187" customFormat="1" ht="12.75">
      <c r="A77" s="184" t="s">
        <v>265</v>
      </c>
      <c r="B77" s="182" t="s">
        <v>426</v>
      </c>
      <c r="C77" s="274"/>
      <c r="D77" s="276"/>
      <c r="E77" s="270"/>
      <c r="F77" s="272"/>
      <c r="G77" s="272"/>
      <c r="H77" s="270"/>
      <c r="I77" s="272"/>
      <c r="J77" s="272"/>
      <c r="K77" s="270"/>
      <c r="L77" s="275"/>
      <c r="M77" s="275"/>
      <c r="N77" s="275"/>
      <c r="O77" s="275"/>
      <c r="P77" s="275"/>
      <c r="Q77" s="196"/>
    </row>
    <row r="78" spans="1:17" s="187" customFormat="1" ht="12.75">
      <c r="A78" s="184"/>
      <c r="B78" s="192" t="s">
        <v>427</v>
      </c>
      <c r="C78" s="276">
        <v>1.394693</v>
      </c>
      <c r="D78" s="276">
        <v>0.8758671</v>
      </c>
      <c r="E78" s="270">
        <f aca="true" t="shared" si="35" ref="E78:E84">D78/C78*10</f>
        <v>6.279999254316183</v>
      </c>
      <c r="F78" s="264">
        <v>0.639</v>
      </c>
      <c r="G78" s="264">
        <v>0.401</v>
      </c>
      <c r="H78" s="264">
        <f aca="true" t="shared" si="36" ref="H78:H88">G78/F78*10</f>
        <v>6.275430359937403</v>
      </c>
      <c r="I78" s="264">
        <f>F78</f>
        <v>0.639</v>
      </c>
      <c r="J78" s="264">
        <f>I78*H78/10</f>
        <v>0.4010000000000001</v>
      </c>
      <c r="K78" s="264">
        <f aca="true" t="shared" si="37" ref="K78:K88">J78/I78*10</f>
        <v>6.275430359937403</v>
      </c>
      <c r="L78" s="264">
        <f aca="true" t="shared" si="38" ref="L78:M88">I78+F78</f>
        <v>1.278</v>
      </c>
      <c r="M78" s="264">
        <f t="shared" si="38"/>
        <v>0.802</v>
      </c>
      <c r="N78" s="264">
        <f aca="true" t="shared" si="39" ref="N78:N88">M78/L78*10</f>
        <v>6.275430359937403</v>
      </c>
      <c r="O78" s="264">
        <v>127</v>
      </c>
      <c r="P78" s="264">
        <v>102.14</v>
      </c>
      <c r="Q78" s="264">
        <f>P78/O78*10</f>
        <v>8.04251968503937</v>
      </c>
    </row>
    <row r="79" spans="1:17" s="187" customFormat="1" ht="12.75">
      <c r="A79" s="184"/>
      <c r="B79" s="192" t="s">
        <v>428</v>
      </c>
      <c r="C79" s="276">
        <v>1.213567</v>
      </c>
      <c r="D79" s="276">
        <v>0.7621201</v>
      </c>
      <c r="E79" s="270">
        <f t="shared" si="35"/>
        <v>6.280000197764112</v>
      </c>
      <c r="F79" s="264">
        <v>0.522</v>
      </c>
      <c r="G79" s="264">
        <v>0.328</v>
      </c>
      <c r="H79" s="264">
        <f t="shared" si="36"/>
        <v>6.283524904214559</v>
      </c>
      <c r="I79" s="264">
        <f aca="true" t="shared" si="40" ref="I79:I88">F79</f>
        <v>0.522</v>
      </c>
      <c r="J79" s="264">
        <f aca="true" t="shared" si="41" ref="J79:J88">I79*H79/10</f>
        <v>0.32799999999999996</v>
      </c>
      <c r="K79" s="264">
        <f t="shared" si="37"/>
        <v>6.283524904214558</v>
      </c>
      <c r="L79" s="264">
        <f t="shared" si="38"/>
        <v>1.044</v>
      </c>
      <c r="M79" s="264">
        <f t="shared" si="38"/>
        <v>0.6559999999999999</v>
      </c>
      <c r="N79" s="264">
        <f t="shared" si="39"/>
        <v>6.283524904214558</v>
      </c>
      <c r="O79" s="275"/>
      <c r="P79" s="275"/>
      <c r="Q79" s="196"/>
    </row>
    <row r="80" spans="1:17" s="187" customFormat="1" ht="12.75">
      <c r="A80" s="184"/>
      <c r="B80" s="192" t="s">
        <v>429</v>
      </c>
      <c r="C80" s="276">
        <v>1.11624</v>
      </c>
      <c r="D80" s="276">
        <v>0.632908</v>
      </c>
      <c r="E80" s="270">
        <f t="shared" si="35"/>
        <v>5.66999928330825</v>
      </c>
      <c r="F80" s="264">
        <v>0.512</v>
      </c>
      <c r="G80" s="264">
        <v>0.321</v>
      </c>
      <c r="H80" s="264">
        <f t="shared" si="36"/>
        <v>6.26953125</v>
      </c>
      <c r="I80" s="264">
        <f t="shared" si="40"/>
        <v>0.512</v>
      </c>
      <c r="J80" s="264">
        <f t="shared" si="41"/>
        <v>0.321</v>
      </c>
      <c r="K80" s="264">
        <f t="shared" si="37"/>
        <v>6.26953125</v>
      </c>
      <c r="L80" s="264">
        <f t="shared" si="38"/>
        <v>1.024</v>
      </c>
      <c r="M80" s="264">
        <f t="shared" si="38"/>
        <v>0.642</v>
      </c>
      <c r="N80" s="264">
        <f t="shared" si="39"/>
        <v>6.26953125</v>
      </c>
      <c r="O80" s="275"/>
      <c r="P80" s="275"/>
      <c r="Q80" s="196"/>
    </row>
    <row r="81" spans="1:17" s="187" customFormat="1" ht="12.75">
      <c r="A81" s="184"/>
      <c r="B81" s="192" t="s">
        <v>430</v>
      </c>
      <c r="C81" s="276">
        <v>1.390565</v>
      </c>
      <c r="D81" s="276">
        <v>0.8732747</v>
      </c>
      <c r="E81" s="270">
        <f t="shared" si="35"/>
        <v>6.279999137041417</v>
      </c>
      <c r="F81" s="264">
        <v>0.656</v>
      </c>
      <c r="G81" s="264">
        <v>0.412</v>
      </c>
      <c r="H81" s="264">
        <f t="shared" si="36"/>
        <v>6.280487804878048</v>
      </c>
      <c r="I81" s="264">
        <f t="shared" si="40"/>
        <v>0.656</v>
      </c>
      <c r="J81" s="264">
        <f t="shared" si="41"/>
        <v>0.4119999999999999</v>
      </c>
      <c r="K81" s="264">
        <f t="shared" si="37"/>
        <v>6.280487804878048</v>
      </c>
      <c r="L81" s="264">
        <f t="shared" si="38"/>
        <v>1.312</v>
      </c>
      <c r="M81" s="264">
        <f t="shared" si="38"/>
        <v>0.8239999999999998</v>
      </c>
      <c r="N81" s="264">
        <f t="shared" si="39"/>
        <v>6.280487804878048</v>
      </c>
      <c r="O81" s="264"/>
      <c r="P81" s="264"/>
      <c r="Q81" s="264">
        <v>0</v>
      </c>
    </row>
    <row r="82" spans="1:17" s="187" customFormat="1" ht="12.75">
      <c r="A82" s="184"/>
      <c r="B82" s="192" t="s">
        <v>431</v>
      </c>
      <c r="C82" s="276">
        <v>1.169621</v>
      </c>
      <c r="D82" s="276">
        <v>0.6631751</v>
      </c>
      <c r="E82" s="270">
        <f t="shared" si="35"/>
        <v>5.669999940151554</v>
      </c>
      <c r="F82" s="264">
        <v>0.56</v>
      </c>
      <c r="G82" s="264">
        <v>0.352</v>
      </c>
      <c r="H82" s="264">
        <f t="shared" si="36"/>
        <v>6.285714285714285</v>
      </c>
      <c r="I82" s="264">
        <f t="shared" si="40"/>
        <v>0.56</v>
      </c>
      <c r="J82" s="264">
        <f t="shared" si="41"/>
        <v>0.352</v>
      </c>
      <c r="K82" s="264">
        <f t="shared" si="37"/>
        <v>6.285714285714285</v>
      </c>
      <c r="L82" s="264">
        <f t="shared" si="38"/>
        <v>1.12</v>
      </c>
      <c r="M82" s="264">
        <f t="shared" si="38"/>
        <v>0.704</v>
      </c>
      <c r="N82" s="264">
        <f t="shared" si="39"/>
        <v>6.285714285714285</v>
      </c>
      <c r="O82" s="264"/>
      <c r="P82" s="264"/>
      <c r="Q82" s="264">
        <v>0</v>
      </c>
    </row>
    <row r="83" spans="1:17" s="187" customFormat="1" ht="12.75">
      <c r="A83" s="184"/>
      <c r="B83" s="192" t="s">
        <v>432</v>
      </c>
      <c r="C83" s="276">
        <v>1.078833</v>
      </c>
      <c r="D83" s="276">
        <v>0.6116982</v>
      </c>
      <c r="E83" s="270">
        <f t="shared" si="35"/>
        <v>5.66999897111045</v>
      </c>
      <c r="F83" s="264">
        <v>0.501</v>
      </c>
      <c r="G83" s="264">
        <v>0.315</v>
      </c>
      <c r="H83" s="264">
        <f t="shared" si="36"/>
        <v>6.287425149700598</v>
      </c>
      <c r="I83" s="264">
        <f t="shared" si="40"/>
        <v>0.501</v>
      </c>
      <c r="J83" s="264">
        <f t="shared" si="41"/>
        <v>0.315</v>
      </c>
      <c r="K83" s="264">
        <f t="shared" si="37"/>
        <v>6.287425149700598</v>
      </c>
      <c r="L83" s="264">
        <f t="shared" si="38"/>
        <v>1.002</v>
      </c>
      <c r="M83" s="264">
        <f t="shared" si="38"/>
        <v>0.63</v>
      </c>
      <c r="N83" s="264">
        <f t="shared" si="39"/>
        <v>6.287425149700598</v>
      </c>
      <c r="O83" s="264"/>
      <c r="P83" s="264"/>
      <c r="Q83" s="264">
        <v>0</v>
      </c>
    </row>
    <row r="84" spans="1:17" s="187" customFormat="1" ht="12.75">
      <c r="A84" s="184"/>
      <c r="B84" s="192" t="s">
        <v>433</v>
      </c>
      <c r="C84" s="276">
        <v>1.358565</v>
      </c>
      <c r="D84" s="276">
        <v>0.8531789</v>
      </c>
      <c r="E84" s="270">
        <f t="shared" si="35"/>
        <v>6.280000588856625</v>
      </c>
      <c r="F84" s="264">
        <v>0.582</v>
      </c>
      <c r="G84" s="264">
        <v>0.365</v>
      </c>
      <c r="H84" s="264">
        <f t="shared" si="36"/>
        <v>6.2714776632302405</v>
      </c>
      <c r="I84" s="264">
        <f t="shared" si="40"/>
        <v>0.582</v>
      </c>
      <c r="J84" s="264">
        <f t="shared" si="41"/>
        <v>0.365</v>
      </c>
      <c r="K84" s="264">
        <f t="shared" si="37"/>
        <v>6.2714776632302405</v>
      </c>
      <c r="L84" s="264">
        <f t="shared" si="38"/>
        <v>1.164</v>
      </c>
      <c r="M84" s="264">
        <f t="shared" si="38"/>
        <v>0.73</v>
      </c>
      <c r="N84" s="264">
        <f t="shared" si="39"/>
        <v>6.2714776632302405</v>
      </c>
      <c r="O84" s="264"/>
      <c r="P84" s="264"/>
      <c r="Q84" s="264">
        <v>0</v>
      </c>
    </row>
    <row r="85" spans="1:17" s="187" customFormat="1" ht="12.75">
      <c r="A85" s="184"/>
      <c r="B85" s="192" t="s">
        <v>521</v>
      </c>
      <c r="C85" s="276">
        <v>0</v>
      </c>
      <c r="D85" s="276">
        <v>0</v>
      </c>
      <c r="E85" s="270">
        <v>0</v>
      </c>
      <c r="F85" s="264">
        <v>4.148</v>
      </c>
      <c r="G85" s="264">
        <v>5.443</v>
      </c>
      <c r="H85" s="264">
        <f t="shared" si="36"/>
        <v>13.121986499517838</v>
      </c>
      <c r="I85" s="264">
        <f t="shared" si="40"/>
        <v>4.148</v>
      </c>
      <c r="J85" s="264">
        <f t="shared" si="41"/>
        <v>5.443</v>
      </c>
      <c r="K85" s="264">
        <f t="shared" si="37"/>
        <v>13.121986499517838</v>
      </c>
      <c r="L85" s="264">
        <f t="shared" si="38"/>
        <v>8.296</v>
      </c>
      <c r="M85" s="264">
        <f t="shared" si="38"/>
        <v>10.886</v>
      </c>
      <c r="N85" s="264">
        <f t="shared" si="39"/>
        <v>13.121986499517838</v>
      </c>
      <c r="O85" s="264"/>
      <c r="P85" s="264"/>
      <c r="Q85" s="264"/>
    </row>
    <row r="86" spans="1:17" s="187" customFormat="1" ht="12.75">
      <c r="A86" s="184"/>
      <c r="B86" s="192" t="s">
        <v>434</v>
      </c>
      <c r="C86" s="276">
        <v>1.431959</v>
      </c>
      <c r="D86" s="276">
        <v>0.8992702</v>
      </c>
      <c r="E86" s="270">
        <f>D86/C86*10</f>
        <v>6.2799996368611115</v>
      </c>
      <c r="F86" s="264">
        <v>0.683</v>
      </c>
      <c r="G86" s="264">
        <v>0.429</v>
      </c>
      <c r="H86" s="264">
        <f t="shared" si="36"/>
        <v>6.281112737920936</v>
      </c>
      <c r="I86" s="264">
        <f t="shared" si="40"/>
        <v>0.683</v>
      </c>
      <c r="J86" s="264">
        <f t="shared" si="41"/>
        <v>0.429</v>
      </c>
      <c r="K86" s="264">
        <f t="shared" si="37"/>
        <v>6.281112737920936</v>
      </c>
      <c r="L86" s="264">
        <f t="shared" si="38"/>
        <v>1.366</v>
      </c>
      <c r="M86" s="264">
        <f t="shared" si="38"/>
        <v>0.858</v>
      </c>
      <c r="N86" s="264">
        <f t="shared" si="39"/>
        <v>6.281112737920936</v>
      </c>
      <c r="O86" s="264"/>
      <c r="P86" s="264"/>
      <c r="Q86" s="264"/>
    </row>
    <row r="87" spans="1:17" s="187" customFormat="1" ht="12.75">
      <c r="A87" s="184"/>
      <c r="B87" s="192" t="s">
        <v>611</v>
      </c>
      <c r="C87" s="276">
        <v>0</v>
      </c>
      <c r="D87" s="276">
        <v>0</v>
      </c>
      <c r="E87" s="270">
        <v>0</v>
      </c>
      <c r="F87" s="264">
        <v>4.391</v>
      </c>
      <c r="G87" s="264">
        <v>4.105</v>
      </c>
      <c r="H87" s="264">
        <f t="shared" si="36"/>
        <v>9.348667729446596</v>
      </c>
      <c r="I87" s="264">
        <f t="shared" si="40"/>
        <v>4.391</v>
      </c>
      <c r="J87" s="264">
        <f t="shared" si="41"/>
        <v>4.105</v>
      </c>
      <c r="K87" s="264">
        <f t="shared" si="37"/>
        <v>9.348667729446596</v>
      </c>
      <c r="L87" s="264"/>
      <c r="M87" s="264"/>
      <c r="N87" s="264"/>
      <c r="O87" s="264"/>
      <c r="P87" s="264"/>
      <c r="Q87" s="264"/>
    </row>
    <row r="88" spans="1:17" s="187" customFormat="1" ht="12.75">
      <c r="A88" s="184"/>
      <c r="B88" s="192" t="s">
        <v>520</v>
      </c>
      <c r="C88" s="276">
        <v>80.847129</v>
      </c>
      <c r="D88" s="276">
        <v>47.3716645</v>
      </c>
      <c r="E88" s="270">
        <f>D88/C88*10</f>
        <v>5.859412088708803</v>
      </c>
      <c r="F88" s="264">
        <v>59.085</v>
      </c>
      <c r="G88" s="264">
        <v>32.864</v>
      </c>
      <c r="H88" s="264">
        <f t="shared" si="36"/>
        <v>5.562156215621562</v>
      </c>
      <c r="I88" s="264">
        <f t="shared" si="40"/>
        <v>59.085</v>
      </c>
      <c r="J88" s="264">
        <f t="shared" si="41"/>
        <v>32.864</v>
      </c>
      <c r="K88" s="264">
        <f t="shared" si="37"/>
        <v>5.562156215621562</v>
      </c>
      <c r="L88" s="264">
        <f t="shared" si="38"/>
        <v>118.17</v>
      </c>
      <c r="M88" s="264">
        <f t="shared" si="38"/>
        <v>65.728</v>
      </c>
      <c r="N88" s="264">
        <f t="shared" si="39"/>
        <v>5.562156215621562</v>
      </c>
      <c r="O88" s="275"/>
      <c r="P88" s="275"/>
      <c r="Q88" s="196"/>
    </row>
    <row r="89" spans="1:17" s="187" customFormat="1" ht="12.75">
      <c r="A89" s="184"/>
      <c r="B89" s="195" t="s">
        <v>31</v>
      </c>
      <c r="C89" s="357">
        <f>SUM(C78:C88)</f>
        <v>91.001172</v>
      </c>
      <c r="D89" s="357">
        <f>SUM(D78:D88)</f>
        <v>53.5431568</v>
      </c>
      <c r="E89" s="272">
        <f>D89/C89*10</f>
        <v>5.883787606603573</v>
      </c>
      <c r="F89" s="357">
        <f>SUM(F78:F88)</f>
        <v>72.279</v>
      </c>
      <c r="G89" s="357">
        <f>SUM(G78:G88)</f>
        <v>45.334999999999994</v>
      </c>
      <c r="H89" s="272">
        <f>G89/F89*10</f>
        <v>6.272222913986081</v>
      </c>
      <c r="I89" s="273">
        <f>SUM(I78:I88)</f>
        <v>72.279</v>
      </c>
      <c r="J89" s="273">
        <f>SUM(J78:J88)</f>
        <v>45.334999999999994</v>
      </c>
      <c r="K89" s="272">
        <f>J89/I89*10</f>
        <v>6.272222913986081</v>
      </c>
      <c r="L89" s="277">
        <f>SUM(L78:L88)</f>
        <v>135.776</v>
      </c>
      <c r="M89" s="277">
        <f>SUM(M78:M88)</f>
        <v>82.46</v>
      </c>
      <c r="N89" s="275">
        <f>M89/L89*10</f>
        <v>6.073238274805561</v>
      </c>
      <c r="O89" s="277">
        <f>SUM(O78:O88)</f>
        <v>127</v>
      </c>
      <c r="P89" s="277">
        <f>SUM(P78:P88)</f>
        <v>102.14</v>
      </c>
      <c r="Q89" s="275">
        <f>P89/O89*10</f>
        <v>8.04251968503937</v>
      </c>
    </row>
    <row r="90" spans="1:17" s="187" customFormat="1" ht="12.75">
      <c r="A90" s="184" t="s">
        <v>435</v>
      </c>
      <c r="B90" s="182" t="s">
        <v>436</v>
      </c>
      <c r="C90" s="274"/>
      <c r="D90" s="276"/>
      <c r="E90" s="270"/>
      <c r="F90" s="272"/>
      <c r="G90" s="272"/>
      <c r="H90" s="270"/>
      <c r="I90" s="272"/>
      <c r="J90" s="272"/>
      <c r="K90" s="270"/>
      <c r="L90" s="275"/>
      <c r="M90" s="275"/>
      <c r="N90" s="275"/>
      <c r="O90" s="275"/>
      <c r="P90" s="275"/>
      <c r="Q90" s="196"/>
    </row>
    <row r="91" spans="1:17" s="187" customFormat="1" ht="12.75">
      <c r="A91" s="184"/>
      <c r="B91" s="192" t="s">
        <v>612</v>
      </c>
      <c r="C91" s="274">
        <v>0</v>
      </c>
      <c r="D91" s="276">
        <v>0</v>
      </c>
      <c r="E91" s="270">
        <v>0</v>
      </c>
      <c r="F91" s="272">
        <v>0</v>
      </c>
      <c r="G91" s="272">
        <v>0</v>
      </c>
      <c r="H91" s="270">
        <v>0</v>
      </c>
      <c r="I91" s="272">
        <v>0</v>
      </c>
      <c r="J91" s="272">
        <v>0</v>
      </c>
      <c r="K91" s="270">
        <v>0</v>
      </c>
      <c r="L91" s="275">
        <v>0</v>
      </c>
      <c r="M91" s="275">
        <v>0</v>
      </c>
      <c r="N91" s="275">
        <v>0</v>
      </c>
      <c r="O91" s="194">
        <v>60</v>
      </c>
      <c r="P91" s="194">
        <v>33.96</v>
      </c>
      <c r="Q91" s="196"/>
    </row>
    <row r="92" spans="1:17" s="187" customFormat="1" ht="12.75">
      <c r="A92" s="184"/>
      <c r="B92" s="192" t="s">
        <v>437</v>
      </c>
      <c r="C92" s="276">
        <v>41.359873</v>
      </c>
      <c r="D92" s="276">
        <v>6.6912105</v>
      </c>
      <c r="E92" s="270">
        <f>D92/C92*10</f>
        <v>1.617802477294841</v>
      </c>
      <c r="F92" s="264">
        <v>0</v>
      </c>
      <c r="G92" s="264">
        <v>0</v>
      </c>
      <c r="H92" s="270">
        <v>0</v>
      </c>
      <c r="I92" s="264">
        <v>0</v>
      </c>
      <c r="J92" s="264">
        <v>0</v>
      </c>
      <c r="K92" s="270">
        <v>0</v>
      </c>
      <c r="L92" s="264">
        <f>I92+F92</f>
        <v>0</v>
      </c>
      <c r="M92" s="264">
        <f>J92+G92</f>
        <v>0</v>
      </c>
      <c r="N92" s="264">
        <v>0</v>
      </c>
      <c r="O92" s="264">
        <v>100</v>
      </c>
      <c r="P92" s="264">
        <v>53.2</v>
      </c>
      <c r="Q92" s="264">
        <v>0</v>
      </c>
    </row>
    <row r="93" spans="1:17" s="187" customFormat="1" ht="12.75">
      <c r="A93" s="184"/>
      <c r="B93" s="195" t="s">
        <v>31</v>
      </c>
      <c r="C93" s="357">
        <f>SUM(C91:C92)</f>
        <v>41.359873</v>
      </c>
      <c r="D93" s="357">
        <f>SUM(D91:D92)</f>
        <v>6.6912105</v>
      </c>
      <c r="E93" s="272">
        <f>D93/C93*10</f>
        <v>1.617802477294841</v>
      </c>
      <c r="F93" s="357">
        <f>SUM(F91:F92)</f>
        <v>0</v>
      </c>
      <c r="G93" s="357">
        <f>SUM(G91:G92)</f>
        <v>0</v>
      </c>
      <c r="H93" s="272">
        <v>0</v>
      </c>
      <c r="I93" s="357">
        <f>SUM(I91:I92)</f>
        <v>0</v>
      </c>
      <c r="J93" s="357">
        <f>SUM(J91:J92)</f>
        <v>0</v>
      </c>
      <c r="K93" s="272">
        <v>0</v>
      </c>
      <c r="L93" s="357">
        <f>SUM(L91:L92)</f>
        <v>0</v>
      </c>
      <c r="M93" s="357">
        <f>SUM(M91:M92)</f>
        <v>0</v>
      </c>
      <c r="N93" s="272">
        <v>0</v>
      </c>
      <c r="O93" s="277">
        <f>SUM(O91:O92)</f>
        <v>160</v>
      </c>
      <c r="P93" s="277">
        <f>SUM(P91:P92)</f>
        <v>87.16</v>
      </c>
      <c r="Q93" s="275">
        <v>0</v>
      </c>
    </row>
    <row r="94" spans="1:17" s="187" customFormat="1" ht="12.75">
      <c r="A94" s="184" t="s">
        <v>438</v>
      </c>
      <c r="B94" s="182" t="s">
        <v>439</v>
      </c>
      <c r="C94" s="278"/>
      <c r="D94" s="278"/>
      <c r="E94" s="272"/>
      <c r="F94" s="272"/>
      <c r="G94" s="272"/>
      <c r="H94" s="270"/>
      <c r="I94" s="272"/>
      <c r="J94" s="272"/>
      <c r="K94" s="270"/>
      <c r="L94" s="275"/>
      <c r="M94" s="275"/>
      <c r="N94" s="275"/>
      <c r="O94" s="275"/>
      <c r="P94" s="275"/>
      <c r="Q94" s="196"/>
    </row>
    <row r="95" spans="1:17" s="187" customFormat="1" ht="12.75">
      <c r="A95" s="184"/>
      <c r="B95" s="192" t="s">
        <v>440</v>
      </c>
      <c r="C95" s="276"/>
      <c r="D95" s="276">
        <v>251.9012809</v>
      </c>
      <c r="E95" s="270">
        <f>D95/(C29+C24)*10</f>
        <v>0.23498583141803545</v>
      </c>
      <c r="F95" s="272"/>
      <c r="G95" s="264">
        <v>141.633</v>
      </c>
      <c r="H95" s="270">
        <f>G95/(F29+F24)*10</f>
        <v>0.2557895472550478</v>
      </c>
      <c r="I95" s="272"/>
      <c r="J95" s="264">
        <f>(I24+I29)*H95/10</f>
        <v>133.62491990722202</v>
      </c>
      <c r="K95" s="270">
        <f>J95/(I29+I24)*10</f>
        <v>0.25578954725504777</v>
      </c>
      <c r="L95" s="264">
        <f>I95+F95</f>
        <v>0</v>
      </c>
      <c r="M95" s="264">
        <f>J95+G95</f>
        <v>275.257919907222</v>
      </c>
      <c r="N95" s="270">
        <f>M95/(L29+L24)*10</f>
        <v>0.25578954725504777</v>
      </c>
      <c r="O95" s="275"/>
      <c r="P95" s="275"/>
      <c r="Q95" s="196"/>
    </row>
    <row r="96" spans="1:17" s="187" customFormat="1" ht="12.75">
      <c r="A96" s="184"/>
      <c r="B96" s="195" t="s">
        <v>31</v>
      </c>
      <c r="C96" s="278">
        <f>SUM(C95:C95)</f>
        <v>0</v>
      </c>
      <c r="D96" s="278">
        <f>SUM(D95:D95)</f>
        <v>251.9012809</v>
      </c>
      <c r="E96" s="272">
        <v>0</v>
      </c>
      <c r="F96" s="16">
        <f>SUM(F95:F95)</f>
        <v>0</v>
      </c>
      <c r="G96" s="16">
        <f>SUM(G95:G95)</f>
        <v>141.633</v>
      </c>
      <c r="H96" s="272">
        <f>H95</f>
        <v>0.2557895472550478</v>
      </c>
      <c r="I96" s="16">
        <f>SUM(I95:I95)</f>
        <v>0</v>
      </c>
      <c r="J96" s="16">
        <f>SUM(J95:J95)</f>
        <v>133.62491990722202</v>
      </c>
      <c r="K96" s="272">
        <f>K95</f>
        <v>0.25578954725504777</v>
      </c>
      <c r="L96" s="16">
        <f>SUM(L95:L95)</f>
        <v>0</v>
      </c>
      <c r="M96" s="16">
        <f>SUM(M95:M95)</f>
        <v>275.257919907222</v>
      </c>
      <c r="N96" s="272">
        <f>N95</f>
        <v>0.25578954725504777</v>
      </c>
      <c r="O96" s="16">
        <f>SUM(O95:O95)</f>
        <v>0</v>
      </c>
      <c r="P96" s="16">
        <f>SUM(P95:P95)</f>
        <v>0</v>
      </c>
      <c r="Q96" s="275">
        <v>0</v>
      </c>
    </row>
    <row r="97" spans="1:17" s="187" customFormat="1" ht="12.75">
      <c r="A97" s="184" t="s">
        <v>441</v>
      </c>
      <c r="B97" s="182" t="s">
        <v>442</v>
      </c>
      <c r="C97" s="276"/>
      <c r="D97" s="276"/>
      <c r="E97" s="17"/>
      <c r="F97" s="272"/>
      <c r="G97" s="272"/>
      <c r="H97" s="270"/>
      <c r="I97" s="272"/>
      <c r="J97" s="272"/>
      <c r="K97" s="270"/>
      <c r="L97" s="275"/>
      <c r="M97" s="275"/>
      <c r="N97" s="275"/>
      <c r="O97" s="275"/>
      <c r="P97" s="275"/>
      <c r="Q97" s="196"/>
    </row>
    <row r="98" spans="1:17" s="187" customFormat="1" ht="12.75">
      <c r="A98" s="184"/>
      <c r="B98" s="192" t="s">
        <v>607</v>
      </c>
      <c r="C98" s="276">
        <v>108.36</v>
      </c>
      <c r="D98" s="276">
        <f>4.3099265</f>
        <v>4.3099265</v>
      </c>
      <c r="E98" s="17">
        <f>D98/C98*10</f>
        <v>0.3977414636397195</v>
      </c>
      <c r="F98" s="272"/>
      <c r="G98" s="272"/>
      <c r="H98" s="270"/>
      <c r="I98" s="272"/>
      <c r="J98" s="272"/>
      <c r="K98" s="270"/>
      <c r="L98" s="275"/>
      <c r="M98" s="275"/>
      <c r="N98" s="275"/>
      <c r="O98" s="275"/>
      <c r="P98" s="275"/>
      <c r="Q98" s="196"/>
    </row>
    <row r="99" spans="1:17" s="187" customFormat="1" ht="12.75">
      <c r="A99" s="184"/>
      <c r="B99" s="192" t="s">
        <v>523</v>
      </c>
      <c r="C99" s="276">
        <v>0</v>
      </c>
      <c r="D99" s="276">
        <v>44.5292951</v>
      </c>
      <c r="E99" s="17">
        <v>0</v>
      </c>
      <c r="F99" s="272"/>
      <c r="G99" s="272"/>
      <c r="H99" s="270"/>
      <c r="I99" s="272"/>
      <c r="J99" s="272"/>
      <c r="K99" s="270"/>
      <c r="L99" s="275"/>
      <c r="M99" s="275"/>
      <c r="N99" s="275"/>
      <c r="O99" s="275"/>
      <c r="P99" s="275"/>
      <c r="Q99" s="196"/>
    </row>
    <row r="100" spans="1:17" s="187" customFormat="1" ht="12.75">
      <c r="A100" s="184"/>
      <c r="B100" s="192" t="s">
        <v>609</v>
      </c>
      <c r="C100" s="276">
        <v>0</v>
      </c>
      <c r="D100" s="276">
        <v>0.7055321</v>
      </c>
      <c r="E100" s="17"/>
      <c r="F100" s="264">
        <v>0</v>
      </c>
      <c r="G100" s="264">
        <v>1.693</v>
      </c>
      <c r="H100" s="270"/>
      <c r="I100" s="272"/>
      <c r="J100" s="272"/>
      <c r="K100" s="270"/>
      <c r="L100" s="275"/>
      <c r="M100" s="275"/>
      <c r="N100" s="275"/>
      <c r="O100" s="275"/>
      <c r="P100" s="275"/>
      <c r="Q100" s="196"/>
    </row>
    <row r="101" spans="1:17" s="187" customFormat="1" ht="12.75">
      <c r="A101" s="184"/>
      <c r="B101" s="192" t="s">
        <v>443</v>
      </c>
      <c r="C101" s="276">
        <v>355.655912</v>
      </c>
      <c r="D101" s="276">
        <v>24.6585135</v>
      </c>
      <c r="E101" s="17">
        <f>D101/C101*10</f>
        <v>0.6933249994730862</v>
      </c>
      <c r="F101" s="264">
        <v>134.277</v>
      </c>
      <c r="G101" s="264">
        <v>29.189</v>
      </c>
      <c r="H101" s="17">
        <f>G101/F101*10</f>
        <v>2.17379000126604</v>
      </c>
      <c r="I101" s="435">
        <v>100</v>
      </c>
      <c r="J101" s="435">
        <f>I101*0.25</f>
        <v>25</v>
      </c>
      <c r="K101" s="264">
        <f>J101/I101*10</f>
        <v>2.5</v>
      </c>
      <c r="L101" s="264">
        <f aca="true" t="shared" si="42" ref="L101:M104">I101+F101</f>
        <v>234.277</v>
      </c>
      <c r="M101" s="264">
        <f t="shared" si="42"/>
        <v>54.189</v>
      </c>
      <c r="N101" s="264">
        <f>M101/L101*10</f>
        <v>2.313031155427123</v>
      </c>
      <c r="O101" s="194">
        <v>0</v>
      </c>
      <c r="P101" s="194">
        <v>0</v>
      </c>
      <c r="Q101" s="264">
        <v>0</v>
      </c>
    </row>
    <row r="102" spans="1:17" s="187" customFormat="1" ht="12.75">
      <c r="A102" s="184"/>
      <c r="B102" s="192" t="s">
        <v>444</v>
      </c>
      <c r="C102" s="276">
        <v>0</v>
      </c>
      <c r="D102" s="276">
        <v>0</v>
      </c>
      <c r="E102" s="17">
        <v>0</v>
      </c>
      <c r="F102" s="264"/>
      <c r="G102" s="264">
        <v>2.546</v>
      </c>
      <c r="H102" s="17">
        <v>0</v>
      </c>
      <c r="I102" s="264"/>
      <c r="J102" s="264"/>
      <c r="K102" s="17">
        <v>0</v>
      </c>
      <c r="L102" s="264">
        <f t="shared" si="42"/>
        <v>0</v>
      </c>
      <c r="M102" s="264">
        <f t="shared" si="42"/>
        <v>2.546</v>
      </c>
      <c r="N102" s="264">
        <v>0</v>
      </c>
      <c r="O102" s="275"/>
      <c r="P102" s="275"/>
      <c r="Q102" s="196"/>
    </row>
    <row r="103" spans="1:17" s="187" customFormat="1" ht="12.75">
      <c r="A103" s="184"/>
      <c r="B103" s="193" t="s">
        <v>445</v>
      </c>
      <c r="C103" s="276">
        <f>4.13+11.9655</f>
        <v>16.0955</v>
      </c>
      <c r="D103" s="276">
        <f>1.270687+3.6092779</f>
        <v>4.8799649</v>
      </c>
      <c r="E103" s="17">
        <f>D103/C103*10</f>
        <v>3.0318815196794136</v>
      </c>
      <c r="F103" s="264">
        <v>119.277</v>
      </c>
      <c r="G103" s="264">
        <v>35.458</v>
      </c>
      <c r="H103" s="17">
        <f>G103/F103*10</f>
        <v>2.9727441166360653</v>
      </c>
      <c r="I103" s="435">
        <v>150</v>
      </c>
      <c r="J103" s="435">
        <f>I103*0.3</f>
        <v>45</v>
      </c>
      <c r="K103" s="264">
        <f>J103/I103*10</f>
        <v>3</v>
      </c>
      <c r="L103" s="264">
        <f t="shared" si="42"/>
        <v>269.277</v>
      </c>
      <c r="M103" s="264">
        <f t="shared" si="42"/>
        <v>80.458</v>
      </c>
      <c r="N103" s="264">
        <f>M103/L103*10</f>
        <v>2.9879269302614038</v>
      </c>
      <c r="O103" s="275"/>
      <c r="P103" s="275"/>
      <c r="Q103" s="196"/>
    </row>
    <row r="104" spans="1:17" s="187" customFormat="1" ht="12.75">
      <c r="A104" s="184"/>
      <c r="B104" s="193" t="s">
        <v>63</v>
      </c>
      <c r="C104" s="276">
        <v>0</v>
      </c>
      <c r="D104" s="276">
        <v>0</v>
      </c>
      <c r="E104" s="17">
        <v>0</v>
      </c>
      <c r="F104" s="264">
        <v>32.649</v>
      </c>
      <c r="G104" s="264">
        <v>11.096</v>
      </c>
      <c r="H104" s="17">
        <v>0</v>
      </c>
      <c r="I104" s="435">
        <v>1200</v>
      </c>
      <c r="J104" s="435">
        <f>I104*0.275</f>
        <v>330</v>
      </c>
      <c r="K104" s="264">
        <f>J104/I104*10</f>
        <v>2.75</v>
      </c>
      <c r="L104" s="264">
        <f t="shared" si="42"/>
        <v>1232.649</v>
      </c>
      <c r="M104" s="264">
        <f t="shared" si="42"/>
        <v>341.096</v>
      </c>
      <c r="N104" s="264">
        <v>0</v>
      </c>
      <c r="O104" s="275">
        <v>0</v>
      </c>
      <c r="P104" s="275">
        <v>3.38</v>
      </c>
      <c r="Q104" s="196"/>
    </row>
    <row r="105" spans="1:17" s="187" customFormat="1" ht="12.75">
      <c r="A105" s="184"/>
      <c r="B105" s="195" t="s">
        <v>31</v>
      </c>
      <c r="C105" s="357">
        <f>SUM(C98:C104)</f>
        <v>480.11141200000003</v>
      </c>
      <c r="D105" s="357">
        <f>SUM(D98:D104)</f>
        <v>79.0832321</v>
      </c>
      <c r="E105" s="272">
        <f>D105/C105*10</f>
        <v>1.6471850100492924</v>
      </c>
      <c r="F105" s="357">
        <f>SUM(F98:F104)</f>
        <v>286.203</v>
      </c>
      <c r="G105" s="357">
        <f>SUM(G98:G104)</f>
        <v>79.982</v>
      </c>
      <c r="H105" s="272">
        <f>G105/F105*10</f>
        <v>2.7945898540546397</v>
      </c>
      <c r="I105" s="273">
        <f>SUM(I101:I104)</f>
        <v>1450</v>
      </c>
      <c r="J105" s="273">
        <f>SUM(J101:J104)</f>
        <v>400</v>
      </c>
      <c r="K105" s="272">
        <v>0</v>
      </c>
      <c r="L105" s="277">
        <f>SUM(L101:L104)</f>
        <v>1736.203</v>
      </c>
      <c r="M105" s="277">
        <f>SUM(M101:M104)</f>
        <v>478.289</v>
      </c>
      <c r="N105" s="275">
        <f>M105/L105*10</f>
        <v>2.754798834007314</v>
      </c>
      <c r="O105" s="277">
        <f>SUM(O101:O104)</f>
        <v>0</v>
      </c>
      <c r="P105" s="277">
        <f>SUM(P101:P104)</f>
        <v>3.38</v>
      </c>
      <c r="Q105" s="275">
        <v>0</v>
      </c>
    </row>
    <row r="106" spans="1:17" s="187" customFormat="1" ht="12.75">
      <c r="A106" s="188"/>
      <c r="B106" s="190" t="s">
        <v>32</v>
      </c>
      <c r="C106" s="207">
        <f>C105+C96+C93+C89+C76+C72+C54+C50+C29+C24+C13+C12</f>
        <v>25350.097987</v>
      </c>
      <c r="D106" s="207">
        <f>D105+D96+D93+D89+D76+D72+D54+D50+D29+D24+D13+D12</f>
        <v>5427.1396098</v>
      </c>
      <c r="E106" s="196">
        <f>D106/C106*10</f>
        <v>2.1408752000024367</v>
      </c>
      <c r="F106" s="207">
        <f>F105+F96+F93+F89+F76+F72+F54+F50+F29+F24+F13+F12</f>
        <v>13686.925999999998</v>
      </c>
      <c r="G106" s="207">
        <f>G105+G96+G93+G89+G76+G72+G54+G50+G29+G24+G13+G12</f>
        <v>2926.869</v>
      </c>
      <c r="H106" s="196">
        <f>G106/F106*10</f>
        <v>2.138441458659162</v>
      </c>
      <c r="I106" s="207">
        <f>I105+I96+I93+I89+I76+I72+I54+I50+I29+I24+I13+I12</f>
        <v>13503.90475</v>
      </c>
      <c r="J106" s="207">
        <f>J105+J96+J93+J89+J76+J72+J54+J50+J29+J24+J13+J12</f>
        <v>3449.6609896516775</v>
      </c>
      <c r="K106" s="196">
        <f>J106/I106*10</f>
        <v>2.554565552346389</v>
      </c>
      <c r="L106" s="207">
        <f>L105+L96+L93+L89+L76+L72+L54+L50+L29+L24+L13+L12</f>
        <v>27084.134749999997</v>
      </c>
      <c r="M106" s="207">
        <f>M105+M96+M93+M89+M76+M72+M54+M50+M29+M24+M13+M12</f>
        <v>6353.163814651679</v>
      </c>
      <c r="N106" s="196">
        <f>M106/L106*10</f>
        <v>2.345714150846809</v>
      </c>
      <c r="O106" s="196">
        <f>O105+O96+O93+O89+O76+O72+O54+O50+O29+O24+O13+O12</f>
        <v>29304.595999999998</v>
      </c>
      <c r="P106" s="196">
        <f>P105+P96+P93+P89+P76+P72+P54+P50+P29+P24+P13+P12</f>
        <v>7604.5199999999995</v>
      </c>
      <c r="Q106" s="196">
        <f>P106/O106*10</f>
        <v>2.5949922667420493</v>
      </c>
    </row>
    <row r="107" spans="1:17" s="187" customFormat="1" ht="17.25" customHeight="1">
      <c r="A107" s="197"/>
      <c r="B107" s="430" t="s">
        <v>446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</row>
    <row r="108" spans="1:17" s="187" customFormat="1" ht="12" customHeight="1">
      <c r="A108" s="181" t="s">
        <v>115</v>
      </c>
      <c r="B108" s="182" t="s">
        <v>447</v>
      </c>
      <c r="C108" s="270"/>
      <c r="D108" s="270"/>
      <c r="E108" s="270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</row>
    <row r="109" spans="1:17" s="187" customFormat="1" ht="12" customHeight="1">
      <c r="A109" s="188"/>
      <c r="B109" s="189" t="s">
        <v>120</v>
      </c>
      <c r="C109" s="17">
        <v>6094.10965</v>
      </c>
      <c r="D109" s="17">
        <v>1791.6972297</v>
      </c>
      <c r="E109" s="270">
        <f>D109/C109*10</f>
        <v>2.94004757479216</v>
      </c>
      <c r="F109" s="17">
        <v>3556.903</v>
      </c>
      <c r="G109" s="17">
        <v>1017.274</v>
      </c>
      <c r="H109" s="17">
        <f>G109/F109*10</f>
        <v>2.8599992746498852</v>
      </c>
      <c r="I109" s="17">
        <f>6820-F109</f>
        <v>3263.097</v>
      </c>
      <c r="J109" s="17">
        <f>I109*H109/10</f>
        <v>933.2455053112217</v>
      </c>
      <c r="K109" s="17">
        <f>J109/I109*10</f>
        <v>2.8599992746498852</v>
      </c>
      <c r="L109" s="264">
        <f aca="true" t="shared" si="43" ref="L109:M113">I109+F109</f>
        <v>6820</v>
      </c>
      <c r="M109" s="264">
        <f t="shared" si="43"/>
        <v>1950.5195053112216</v>
      </c>
      <c r="N109" s="431">
        <f>M109/L109*10</f>
        <v>2.859999274649885</v>
      </c>
      <c r="O109" s="264">
        <v>7500</v>
      </c>
      <c r="P109" s="264">
        <f>O109*N109/10</f>
        <v>2144.9994559874135</v>
      </c>
      <c r="Q109" s="431">
        <f>P109/O109*10</f>
        <v>2.859999274649885</v>
      </c>
    </row>
    <row r="110" spans="1:17" s="187" customFormat="1" ht="12.75">
      <c r="A110" s="184"/>
      <c r="B110" s="189" t="s">
        <v>121</v>
      </c>
      <c r="C110" s="17">
        <v>4814.143426</v>
      </c>
      <c r="D110" s="17">
        <v>1396.1344172</v>
      </c>
      <c r="E110" s="270">
        <f>D110/C110*10</f>
        <v>2.900068181724339</v>
      </c>
      <c r="F110" s="17">
        <v>2501.185</v>
      </c>
      <c r="G110" s="17">
        <v>700.332</v>
      </c>
      <c r="H110" s="17">
        <f>G110/F110*10</f>
        <v>2.80000079962098</v>
      </c>
      <c r="I110" s="17">
        <f>5330-F110</f>
        <v>2828.815</v>
      </c>
      <c r="J110" s="17">
        <f>I110*H110/10</f>
        <v>792.0684261979823</v>
      </c>
      <c r="K110" s="17">
        <f>J110/I110*10</f>
        <v>2.8000007996209804</v>
      </c>
      <c r="L110" s="264">
        <f t="shared" si="43"/>
        <v>5330</v>
      </c>
      <c r="M110" s="264">
        <f t="shared" si="43"/>
        <v>1492.4004261979821</v>
      </c>
      <c r="N110" s="431">
        <f>M110/L110*10</f>
        <v>2.80000079962098</v>
      </c>
      <c r="O110" s="264">
        <v>5625</v>
      </c>
      <c r="P110" s="264">
        <f>O110*N110/10</f>
        <v>1575.0004497868013</v>
      </c>
      <c r="Q110" s="431">
        <f>P110/O110*10</f>
        <v>2.8000007996209804</v>
      </c>
    </row>
    <row r="111" spans="1:17" s="187" customFormat="1" ht="12.75">
      <c r="A111" s="184"/>
      <c r="B111" s="189" t="s">
        <v>122</v>
      </c>
      <c r="C111" s="17">
        <v>2811.447651</v>
      </c>
      <c r="D111" s="17">
        <v>505.48222</v>
      </c>
      <c r="E111" s="270">
        <f>D111/C111*10</f>
        <v>1.7979428491944558</v>
      </c>
      <c r="F111" s="17">
        <v>1617.261</v>
      </c>
      <c r="G111" s="17">
        <v>299.193</v>
      </c>
      <c r="H111" s="17">
        <f>G111/F111*10</f>
        <v>1.8499982377612518</v>
      </c>
      <c r="I111" s="17">
        <f>3340-F111</f>
        <v>1722.739</v>
      </c>
      <c r="J111" s="17">
        <f>I111*H111/10</f>
        <v>318.70641141225815</v>
      </c>
      <c r="K111" s="17">
        <f>J111/I111*10</f>
        <v>1.849998237761252</v>
      </c>
      <c r="L111" s="264">
        <f t="shared" si="43"/>
        <v>3340</v>
      </c>
      <c r="M111" s="264">
        <f t="shared" si="43"/>
        <v>617.8994114122581</v>
      </c>
      <c r="N111" s="431">
        <f>M111/L111*10</f>
        <v>1.849998237761252</v>
      </c>
      <c r="O111" s="264">
        <v>3630</v>
      </c>
      <c r="P111" s="264">
        <f>O111*N111/10</f>
        <v>671.5493603073345</v>
      </c>
      <c r="Q111" s="431">
        <f>P111/O111*10</f>
        <v>1.849998237761252</v>
      </c>
    </row>
    <row r="112" spans="1:17" s="187" customFormat="1" ht="12" customHeight="1">
      <c r="A112" s="184"/>
      <c r="B112" s="189" t="s">
        <v>448</v>
      </c>
      <c r="C112" s="17">
        <v>7285.351303</v>
      </c>
      <c r="D112" s="17">
        <v>1887.0865812</v>
      </c>
      <c r="E112" s="270">
        <f>D112/C112*10</f>
        <v>2.5902478860874223</v>
      </c>
      <c r="F112" s="17">
        <v>4383.502</v>
      </c>
      <c r="G112" s="17">
        <v>1161.628</v>
      </c>
      <c r="H112" s="17">
        <f>G112/F112*10</f>
        <v>2.6499999315615685</v>
      </c>
      <c r="I112" s="17">
        <f>9040-F112</f>
        <v>4656.498</v>
      </c>
      <c r="J112" s="17">
        <f>I112*H112/10</f>
        <v>1233.971938131658</v>
      </c>
      <c r="K112" s="17">
        <f>J112/I112*10</f>
        <v>2.6499999315615685</v>
      </c>
      <c r="L112" s="264">
        <f t="shared" si="43"/>
        <v>9040</v>
      </c>
      <c r="M112" s="264">
        <f t="shared" si="43"/>
        <v>2395.599938131658</v>
      </c>
      <c r="N112" s="431">
        <f>M112/L112*10</f>
        <v>2.6499999315615685</v>
      </c>
      <c r="O112" s="264">
        <v>9401</v>
      </c>
      <c r="P112" s="264">
        <f>O112*N112/10</f>
        <v>2491.2649356610304</v>
      </c>
      <c r="Q112" s="431">
        <f>P112/O112*10</f>
        <v>2.6499999315615685</v>
      </c>
    </row>
    <row r="113" spans="1:17" s="187" customFormat="1" ht="12" customHeight="1">
      <c r="A113" s="184"/>
      <c r="B113" s="189" t="s">
        <v>449</v>
      </c>
      <c r="C113" s="17"/>
      <c r="D113" s="264">
        <f>-328.71</f>
        <v>-328.71</v>
      </c>
      <c r="E113" s="270">
        <v>0</v>
      </c>
      <c r="F113" s="432">
        <v>0</v>
      </c>
      <c r="G113" s="432">
        <v>0</v>
      </c>
      <c r="H113" s="17">
        <v>0</v>
      </c>
      <c r="I113" s="433">
        <v>0</v>
      </c>
      <c r="J113" s="433">
        <v>0</v>
      </c>
      <c r="K113" s="17">
        <v>0</v>
      </c>
      <c r="L113" s="264">
        <f t="shared" si="43"/>
        <v>0</v>
      </c>
      <c r="M113" s="264">
        <v>-284.71</v>
      </c>
      <c r="N113" s="431">
        <v>0</v>
      </c>
      <c r="O113" s="264">
        <v>0</v>
      </c>
      <c r="P113" s="264">
        <v>-200.53</v>
      </c>
      <c r="Q113" s="431">
        <v>0</v>
      </c>
    </row>
    <row r="114" spans="1:17" s="187" customFormat="1" ht="12" customHeight="1">
      <c r="A114" s="184"/>
      <c r="B114" s="190" t="s">
        <v>40</v>
      </c>
      <c r="C114" s="16">
        <f>SUM(C109:C113)</f>
        <v>21005.052030000003</v>
      </c>
      <c r="D114" s="16">
        <f>SUM(D109:D113)</f>
        <v>5251.6904481</v>
      </c>
      <c r="E114" s="272">
        <f>D114/C114*10</f>
        <v>2.5002034941876787</v>
      </c>
      <c r="F114" s="272">
        <f>SUM(F109:F113)</f>
        <v>12058.851</v>
      </c>
      <c r="G114" s="272">
        <f>SUM(G109:G113)</f>
        <v>3178.4269999999997</v>
      </c>
      <c r="H114" s="16">
        <f>G114/F114*10</f>
        <v>2.63576272731125</v>
      </c>
      <c r="I114" s="272">
        <f>SUM(I109:I113)</f>
        <v>12471.149</v>
      </c>
      <c r="J114" s="272">
        <f>SUM(J109:J113)</f>
        <v>3277.9922810531198</v>
      </c>
      <c r="K114" s="16">
        <f>J114/I114*10</f>
        <v>2.628460522004123</v>
      </c>
      <c r="L114" s="272">
        <f>SUM(L109:L113)</f>
        <v>24530</v>
      </c>
      <c r="M114" s="272">
        <f>SUM(M109:M113)</f>
        <v>6171.709281053119</v>
      </c>
      <c r="N114" s="429">
        <f>M114/L114*10</f>
        <v>2.5159842156759558</v>
      </c>
      <c r="O114" s="272">
        <f>SUM(O109:O113)</f>
        <v>26156</v>
      </c>
      <c r="P114" s="272">
        <f>SUM(P109:P113)</f>
        <v>6682.28420174258</v>
      </c>
      <c r="Q114" s="429">
        <f>P114/O114*10</f>
        <v>2.5547806246148417</v>
      </c>
    </row>
    <row r="115" spans="1:17" s="187" customFormat="1" ht="12.75">
      <c r="A115" s="188" t="s">
        <v>116</v>
      </c>
      <c r="B115" s="191" t="s">
        <v>450</v>
      </c>
      <c r="C115" s="17"/>
      <c r="D115" s="17"/>
      <c r="E115" s="270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</row>
    <row r="116" spans="1:17" s="187" customFormat="1" ht="12" customHeight="1">
      <c r="A116" s="184"/>
      <c r="B116" s="199" t="s">
        <v>394</v>
      </c>
      <c r="C116" s="17">
        <v>0</v>
      </c>
      <c r="D116" s="17">
        <v>0</v>
      </c>
      <c r="E116" s="270">
        <v>0</v>
      </c>
      <c r="F116" s="17">
        <v>0</v>
      </c>
      <c r="G116" s="17">
        <v>0</v>
      </c>
      <c r="H116" s="17">
        <v>0</v>
      </c>
      <c r="I116" s="17">
        <v>0</v>
      </c>
      <c r="J116" s="17"/>
      <c r="K116" s="17">
        <v>0</v>
      </c>
      <c r="L116" s="264">
        <f>I116+F116</f>
        <v>0</v>
      </c>
      <c r="M116" s="264">
        <f>J116+G116</f>
        <v>0</v>
      </c>
      <c r="N116" s="431">
        <v>0</v>
      </c>
      <c r="O116" s="264">
        <v>0</v>
      </c>
      <c r="P116" s="264">
        <v>0</v>
      </c>
      <c r="Q116" s="431">
        <v>0</v>
      </c>
    </row>
    <row r="117" spans="1:17" s="187" customFormat="1" ht="12" customHeight="1">
      <c r="A117" s="184"/>
      <c r="B117" s="199" t="s">
        <v>393</v>
      </c>
      <c r="C117" s="17">
        <v>2.843419</v>
      </c>
      <c r="D117" s="17">
        <v>1.9050911</v>
      </c>
      <c r="E117" s="270">
        <f>D117/C117*10</f>
        <v>6.700001301250361</v>
      </c>
      <c r="F117" s="17">
        <v>0</v>
      </c>
      <c r="G117" s="17">
        <v>0</v>
      </c>
      <c r="H117" s="17">
        <v>0</v>
      </c>
      <c r="I117" s="17">
        <v>1</v>
      </c>
      <c r="J117" s="17">
        <f>I117*0.67</f>
        <v>0.67</v>
      </c>
      <c r="K117" s="17">
        <f>J117/I117*10</f>
        <v>6.7</v>
      </c>
      <c r="L117" s="264">
        <f>I117+F117</f>
        <v>1</v>
      </c>
      <c r="M117" s="264">
        <f>J117+G117</f>
        <v>0.67</v>
      </c>
      <c r="N117" s="431">
        <f>M117/L117*10</f>
        <v>6.7</v>
      </c>
      <c r="O117" s="264">
        <v>10</v>
      </c>
      <c r="P117" s="264">
        <f>O117*0.67</f>
        <v>6.7</v>
      </c>
      <c r="Q117" s="431">
        <f>P117/O117*10</f>
        <v>6.7</v>
      </c>
    </row>
    <row r="118" spans="1:17" s="187" customFormat="1" ht="12" customHeight="1">
      <c r="A118" s="188"/>
      <c r="B118" s="200" t="s">
        <v>40</v>
      </c>
      <c r="C118" s="16">
        <f>SUM(C116:C117)</f>
        <v>2.843419</v>
      </c>
      <c r="D118" s="16">
        <f>SUM(D116:D117)</f>
        <v>1.9050911</v>
      </c>
      <c r="E118" s="272">
        <f>D118/C118*10</f>
        <v>6.700001301250361</v>
      </c>
      <c r="F118" s="272">
        <f>SUM(F116:F117)</f>
        <v>0</v>
      </c>
      <c r="G118" s="272">
        <f>SUM(G116:G117)</f>
        <v>0</v>
      </c>
      <c r="H118" s="16">
        <v>0</v>
      </c>
      <c r="I118" s="272">
        <f>SUM(I116:I117)</f>
        <v>1</v>
      </c>
      <c r="J118" s="272">
        <f>SUM(J116:J117)</f>
        <v>0.67</v>
      </c>
      <c r="K118" s="16">
        <f>J118/I118*10</f>
        <v>6.7</v>
      </c>
      <c r="L118" s="272">
        <f>SUM(L116:L117)</f>
        <v>1</v>
      </c>
      <c r="M118" s="272">
        <f>SUM(M116:M117)</f>
        <v>0.67</v>
      </c>
      <c r="N118" s="429">
        <f>M118/L118*10</f>
        <v>6.7</v>
      </c>
      <c r="O118" s="272">
        <f>SUM(O116:O117)</f>
        <v>10</v>
      </c>
      <c r="P118" s="272">
        <f>SUM(P116:P117)</f>
        <v>6.7</v>
      </c>
      <c r="Q118" s="429">
        <f>P118/O118*10</f>
        <v>6.7</v>
      </c>
    </row>
    <row r="119" spans="1:17" ht="12.75" customHeight="1">
      <c r="A119" s="181" t="s">
        <v>28</v>
      </c>
      <c r="B119" s="182" t="s">
        <v>451</v>
      </c>
      <c r="C119" s="17"/>
      <c r="D119" s="17"/>
      <c r="E119" s="270"/>
      <c r="F119" s="279"/>
      <c r="G119" s="279"/>
      <c r="H119" s="264"/>
      <c r="I119" s="279"/>
      <c r="J119" s="279"/>
      <c r="K119" s="264"/>
      <c r="L119" s="280"/>
      <c r="M119" s="280"/>
      <c r="N119" s="194"/>
      <c r="O119" s="280"/>
      <c r="P119" s="280"/>
      <c r="Q119" s="194"/>
    </row>
    <row r="120" spans="1:17" ht="12.75">
      <c r="A120" s="183"/>
      <c r="B120" s="201" t="s">
        <v>119</v>
      </c>
      <c r="C120" s="383">
        <f>933.022153+531.75416+200.830608</f>
        <v>1665.6069209999998</v>
      </c>
      <c r="D120" s="383">
        <f>488.8598344+146.369247+29.3688027</f>
        <v>664.5978841</v>
      </c>
      <c r="E120" s="270">
        <f>D120/C120*10</f>
        <v>3.99012441483485</v>
      </c>
      <c r="F120" s="434">
        <f>300.402+15.222+55.264+176.386+81.804</f>
        <v>629.078</v>
      </c>
      <c r="G120" s="434">
        <f>138.602+5.186+28.537+80.644+42.493</f>
        <v>295.46200000000005</v>
      </c>
      <c r="H120" s="434">
        <f>G120/F120*10</f>
        <v>4.696746667344909</v>
      </c>
      <c r="I120" s="434">
        <v>200</v>
      </c>
      <c r="J120" s="17">
        <f>I120*0.4</f>
        <v>80</v>
      </c>
      <c r="K120" s="17">
        <f>J120/I120*10</f>
        <v>4</v>
      </c>
      <c r="L120" s="264">
        <f aca="true" t="shared" si="44" ref="L120:M122">I120+F120</f>
        <v>829.078</v>
      </c>
      <c r="M120" s="264">
        <f t="shared" si="44"/>
        <v>375.46200000000005</v>
      </c>
      <c r="N120" s="431">
        <f>M120/L120*10</f>
        <v>4.528669196384419</v>
      </c>
      <c r="O120" s="280">
        <f>O106-(O114+O118)/0.9625</f>
        <v>2119.1414545454536</v>
      </c>
      <c r="P120" s="280">
        <f>O120*0.4</f>
        <v>847.6565818181815</v>
      </c>
      <c r="Q120" s="194">
        <v>0</v>
      </c>
    </row>
    <row r="121" spans="1:17" ht="12.75" customHeight="1">
      <c r="A121" s="183"/>
      <c r="B121" s="201" t="s">
        <v>346</v>
      </c>
      <c r="C121" s="17">
        <v>1711.439457</v>
      </c>
      <c r="D121" s="17">
        <v>246.1037285</v>
      </c>
      <c r="E121" s="270">
        <f>D121/C121*10</f>
        <v>1.4379926061269954</v>
      </c>
      <c r="F121" s="17">
        <f>79.263+306.208</f>
        <v>385.471</v>
      </c>
      <c r="G121" s="434">
        <f>36.344+176.578</f>
        <v>212.922</v>
      </c>
      <c r="H121" s="17">
        <f>G121/F121*10</f>
        <v>5.523684012545691</v>
      </c>
      <c r="I121" s="17">
        <v>200</v>
      </c>
      <c r="J121" s="17">
        <f>I121*0.4</f>
        <v>80</v>
      </c>
      <c r="K121" s="17">
        <f>J121/I121*10</f>
        <v>4</v>
      </c>
      <c r="L121" s="264">
        <f t="shared" si="44"/>
        <v>585.471</v>
      </c>
      <c r="M121" s="264">
        <f t="shared" si="44"/>
        <v>292.922</v>
      </c>
      <c r="N121" s="431">
        <f>M121/L121*10</f>
        <v>5.003185469476712</v>
      </c>
      <c r="O121" s="280">
        <v>0</v>
      </c>
      <c r="P121" s="280">
        <v>0</v>
      </c>
      <c r="Q121" s="194">
        <v>0</v>
      </c>
    </row>
    <row r="122" spans="1:17" ht="12.75" customHeight="1">
      <c r="A122" s="183"/>
      <c r="B122" s="201" t="s">
        <v>458</v>
      </c>
      <c r="C122" s="17">
        <v>0</v>
      </c>
      <c r="D122" s="17">
        <v>0</v>
      </c>
      <c r="E122" s="270">
        <v>0</v>
      </c>
      <c r="F122" s="279">
        <f>123.51+9.113</f>
        <v>132.623</v>
      </c>
      <c r="G122" s="281">
        <v>0</v>
      </c>
      <c r="H122" s="272">
        <f>G122/F122*10</f>
        <v>0</v>
      </c>
      <c r="I122" s="279">
        <v>0</v>
      </c>
      <c r="J122" s="281">
        <v>0</v>
      </c>
      <c r="K122" s="272">
        <v>0</v>
      </c>
      <c r="L122" s="264">
        <f t="shared" si="44"/>
        <v>132.623</v>
      </c>
      <c r="M122" s="264">
        <f t="shared" si="44"/>
        <v>0</v>
      </c>
      <c r="N122" s="275">
        <f>M122/L122*10</f>
        <v>0</v>
      </c>
      <c r="O122" s="282">
        <v>0</v>
      </c>
      <c r="P122" s="282">
        <v>0</v>
      </c>
      <c r="Q122" s="275">
        <v>0</v>
      </c>
    </row>
    <row r="123" spans="1:17" ht="15.75" customHeight="1">
      <c r="A123" s="181"/>
      <c r="B123" s="202" t="s">
        <v>40</v>
      </c>
      <c r="C123" s="283">
        <f>SUM(C120:C122)</f>
        <v>3377.046378</v>
      </c>
      <c r="D123" s="283">
        <f>SUM(D120:D122)</f>
        <v>910.7016126</v>
      </c>
      <c r="E123" s="272">
        <f>D123/C123*10</f>
        <v>2.696740022680257</v>
      </c>
      <c r="F123" s="283">
        <f>SUM(F120:F122)</f>
        <v>1147.172</v>
      </c>
      <c r="G123" s="283">
        <f>SUM(G120:G122)</f>
        <v>508.384</v>
      </c>
      <c r="H123" s="272">
        <f>G123/F123*10</f>
        <v>4.431628387024788</v>
      </c>
      <c r="I123" s="283">
        <f>SUM(I120:I122)</f>
        <v>400</v>
      </c>
      <c r="J123" s="283">
        <f>SUM(J120:J122)</f>
        <v>160</v>
      </c>
      <c r="K123" s="272">
        <f>J123/I123*10</f>
        <v>4</v>
      </c>
      <c r="L123" s="283">
        <f>SUM(L120:L122)</f>
        <v>1547.172</v>
      </c>
      <c r="M123" s="283">
        <f>SUM(M120:M122)</f>
        <v>668.384</v>
      </c>
      <c r="N123" s="272">
        <f>M123/L123*10</f>
        <v>4.320036815557676</v>
      </c>
      <c r="O123" s="283">
        <f>SUM(O120:O122)</f>
        <v>2119.1414545454536</v>
      </c>
      <c r="P123" s="283">
        <f>SUM(P120:P122)</f>
        <v>847.6565818181815</v>
      </c>
      <c r="Q123" s="272">
        <v>0</v>
      </c>
    </row>
    <row r="124" spans="1:17" ht="17.25" customHeight="1">
      <c r="A124" s="181"/>
      <c r="B124" s="200" t="s">
        <v>32</v>
      </c>
      <c r="C124" s="16">
        <f>C123+C118+C114</f>
        <v>24384.941827000002</v>
      </c>
      <c r="D124" s="16">
        <f>D123+D118+D114</f>
        <v>6164.2971518</v>
      </c>
      <c r="E124" s="272">
        <f>D124/C124*10</f>
        <v>2.5279113624846294</v>
      </c>
      <c r="F124" s="16">
        <f>F123+F118+F114</f>
        <v>13206.023000000001</v>
      </c>
      <c r="G124" s="16">
        <f>G123+G118+G114</f>
        <v>3686.8109999999997</v>
      </c>
      <c r="H124" s="272">
        <f>G124/F124*10</f>
        <v>2.791764787930476</v>
      </c>
      <c r="I124" s="16">
        <f>I123+I118+I114</f>
        <v>12872.149</v>
      </c>
      <c r="J124" s="16">
        <f>J123+J118+J114</f>
        <v>3438.66228105312</v>
      </c>
      <c r="K124" s="272">
        <f>J124/I124*10</f>
        <v>2.671397201083611</v>
      </c>
      <c r="L124" s="16">
        <f>L123+L118+L114</f>
        <v>26078.172</v>
      </c>
      <c r="M124" s="16">
        <f>M123+M118+M114</f>
        <v>6840.7632810531195</v>
      </c>
      <c r="N124" s="272">
        <f>M124/L124*10</f>
        <v>2.6231759193294373</v>
      </c>
      <c r="O124" s="16">
        <f>O123+O118+O114</f>
        <v>28285.141454545454</v>
      </c>
      <c r="P124" s="16">
        <f>P123+P118+P114</f>
        <v>7536.6407835607615</v>
      </c>
      <c r="Q124" s="272">
        <f>P124/O124*10</f>
        <v>2.6645229247561764</v>
      </c>
    </row>
    <row r="125" spans="1:17" ht="12.75" customHeight="1">
      <c r="A125" s="181"/>
      <c r="B125" s="200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2.75" customHeight="1">
      <c r="A126" s="203"/>
      <c r="B126" s="204" t="s">
        <v>452</v>
      </c>
      <c r="C126" s="270">
        <f>C106-C124</f>
        <v>965.1561599999986</v>
      </c>
      <c r="D126" s="17"/>
      <c r="E126" s="17"/>
      <c r="F126" s="270">
        <f>F106-F124</f>
        <v>480.9029999999966</v>
      </c>
      <c r="G126" s="17"/>
      <c r="H126" s="17"/>
      <c r="I126" s="284">
        <f>I106-I124</f>
        <v>631.7557500000003</v>
      </c>
      <c r="J126" s="17"/>
      <c r="K126" s="17"/>
      <c r="L126" s="284">
        <f>L106-L124</f>
        <v>1005.9627499999988</v>
      </c>
      <c r="M126" s="17"/>
      <c r="N126" s="17"/>
      <c r="O126" s="284">
        <f>O106-O114-O118-O123</f>
        <v>1019.4545454545441</v>
      </c>
      <c r="P126" s="17"/>
      <c r="Q126" s="17"/>
    </row>
    <row r="127" spans="1:17" ht="12.75" customHeight="1">
      <c r="A127" s="205"/>
      <c r="B127" s="204" t="s">
        <v>453</v>
      </c>
      <c r="C127" s="270">
        <f>C126/C106*100</f>
        <v>3.8073074135451015</v>
      </c>
      <c r="D127" s="17"/>
      <c r="E127" s="17"/>
      <c r="F127" s="270">
        <f>F126/F106*100</f>
        <v>3.513593921673842</v>
      </c>
      <c r="G127" s="17"/>
      <c r="H127" s="17"/>
      <c r="I127" s="284">
        <f>I126/I106*100</f>
        <v>4.678319061751382</v>
      </c>
      <c r="J127" s="17"/>
      <c r="K127" s="17"/>
      <c r="L127" s="284">
        <f>L126/L106*100</f>
        <v>3.7142140935478802</v>
      </c>
      <c r="M127" s="17"/>
      <c r="N127" s="17"/>
      <c r="O127" s="284">
        <f>O126/((O114+O118)/0.9625)*100</f>
        <v>3.749999999999995</v>
      </c>
      <c r="P127" s="17"/>
      <c r="Q127" s="17"/>
    </row>
    <row r="134" ht="12.75">
      <c r="F134" s="268"/>
    </row>
    <row r="135" ht="12.75">
      <c r="P135" s="206"/>
    </row>
  </sheetData>
  <sheetProtection/>
  <mergeCells count="7">
    <mergeCell ref="O2:Q2"/>
    <mergeCell ref="A2:A3"/>
    <mergeCell ref="B2:B3"/>
    <mergeCell ref="C2:E2"/>
    <mergeCell ref="F2:H2"/>
    <mergeCell ref="I2:K2"/>
    <mergeCell ref="L2:N2"/>
  </mergeCells>
  <printOptions/>
  <pageMargins left="0.63" right="0.15748031496062992" top="0.46" bottom="0.57" header="0.15748031496062992" footer="0.15748031496062992"/>
  <pageSetup horizontalDpi="600" verticalDpi="600" orientation="landscape" paperSize="9" scale="71" r:id="rId1"/>
  <rowBreaks count="1" manualBreakCount="1">
    <brk id="10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00390625" style="0" bestFit="1" customWidth="1"/>
    <col min="2" max="2" width="41.8515625" style="0" bestFit="1" customWidth="1"/>
    <col min="3" max="3" width="15.57421875" style="0" customWidth="1"/>
    <col min="4" max="4" width="14.00390625" style="0" bestFit="1" customWidth="1"/>
    <col min="5" max="5" width="12.8515625" style="0" bestFit="1" customWidth="1"/>
    <col min="6" max="6" width="11.57421875" style="0" bestFit="1" customWidth="1"/>
    <col min="7" max="7" width="12.00390625" style="0" bestFit="1" customWidth="1"/>
    <col min="10" max="10" width="23.7109375" style="0" bestFit="1" customWidth="1"/>
  </cols>
  <sheetData>
    <row r="1" spans="2:5" ht="22.5">
      <c r="B1" s="286" t="s">
        <v>525</v>
      </c>
      <c r="C1" s="287"/>
      <c r="D1" s="287"/>
      <c r="E1" s="287"/>
    </row>
    <row r="2" spans="2:5" s="2" customFormat="1" ht="15.75">
      <c r="B2" s="288"/>
      <c r="C2" s="289" t="s">
        <v>556</v>
      </c>
      <c r="D2" s="289" t="s">
        <v>641</v>
      </c>
      <c r="E2" s="289"/>
    </row>
    <row r="3" spans="2:5" s="2" customFormat="1" ht="15.75">
      <c r="B3" s="290" t="s">
        <v>526</v>
      </c>
      <c r="C3" s="287"/>
      <c r="D3" s="287"/>
      <c r="E3" s="287"/>
    </row>
    <row r="4" spans="3:4" s="2" customFormat="1" ht="15.75" hidden="1">
      <c r="C4" s="291"/>
      <c r="D4" s="291"/>
    </row>
    <row r="5" spans="2:4" s="2" customFormat="1" ht="15.75">
      <c r="B5" s="288" t="s">
        <v>527</v>
      </c>
      <c r="C5" s="292">
        <f>'F-2'!L65</f>
        <v>1119</v>
      </c>
      <c r="D5" s="292">
        <v>1250</v>
      </c>
    </row>
    <row r="6" spans="2:4" s="2" customFormat="1" ht="15.75">
      <c r="B6" s="288" t="s">
        <v>528</v>
      </c>
      <c r="C6" s="292">
        <f>C34+C48</f>
        <v>7072.7677702820265</v>
      </c>
      <c r="D6" s="292">
        <f>D34+D48</f>
        <v>7686.195991685124</v>
      </c>
    </row>
    <row r="7" spans="2:4" s="2" customFormat="1" ht="15.75">
      <c r="B7" s="288" t="s">
        <v>529</v>
      </c>
      <c r="C7" s="292">
        <v>0</v>
      </c>
      <c r="D7" s="292">
        <v>0</v>
      </c>
    </row>
    <row r="8" spans="2:4" s="2" customFormat="1" ht="15.75">
      <c r="B8" s="293" t="s">
        <v>40</v>
      </c>
      <c r="C8" s="291">
        <f>SUM(C5:C7)</f>
        <v>8191.7677702820265</v>
      </c>
      <c r="D8" s="291">
        <f>SUM(D5:D7)</f>
        <v>8936.195991685123</v>
      </c>
    </row>
    <row r="9" spans="2:4" s="2" customFormat="1" ht="15.75">
      <c r="B9" s="290" t="s">
        <v>530</v>
      </c>
      <c r="C9" s="291"/>
      <c r="D9" s="291"/>
    </row>
    <row r="10" spans="2:4" s="2" customFormat="1" ht="15.75">
      <c r="B10" s="288" t="s">
        <v>531</v>
      </c>
      <c r="C10" s="292">
        <f>C24+C29</f>
        <v>1239.5141419865</v>
      </c>
      <c r="D10" s="292">
        <f>D24+D29</f>
        <v>1375.1896636826207</v>
      </c>
    </row>
    <row r="11" spans="2:4" s="2" customFormat="1" ht="15.75">
      <c r="B11" s="288" t="s">
        <v>532</v>
      </c>
      <c r="C11" s="292">
        <f>C44</f>
        <v>6275.995130914039</v>
      </c>
      <c r="D11" s="292">
        <f>D44</f>
        <v>7500.240317887639</v>
      </c>
    </row>
    <row r="12" spans="2:4" s="2" customFormat="1" ht="15.75">
      <c r="B12" s="288" t="s">
        <v>533</v>
      </c>
      <c r="C12" s="292">
        <f>'F-16'!D16+'F-16'!D17+'F-16'!D18</f>
        <v>10.593237215896393</v>
      </c>
      <c r="D12" s="292">
        <f>'F-16'!E16+'F-16'!E17+'F-16'!E18</f>
        <v>11.76827926164638</v>
      </c>
    </row>
    <row r="13" spans="2:6" s="2" customFormat="1" ht="15.75">
      <c r="B13" s="288" t="s">
        <v>54</v>
      </c>
      <c r="C13" s="292">
        <f>'F-1'!D19+C45</f>
        <v>633.8096110400003</v>
      </c>
      <c r="D13" s="292">
        <f>'F-1'!E19+D45</f>
        <v>0.5</v>
      </c>
      <c r="E13" s="294"/>
      <c r="F13" s="294"/>
    </row>
    <row r="14" spans="2:5" s="2" customFormat="1" ht="15.75">
      <c r="B14" s="293" t="s">
        <v>40</v>
      </c>
      <c r="C14" s="291">
        <f>SUM(C10:C13)</f>
        <v>8159.912121156436</v>
      </c>
      <c r="D14" s="291">
        <f>SUM(D10:D13)</f>
        <v>8887.698260831907</v>
      </c>
      <c r="E14" s="15"/>
    </row>
    <row r="15" spans="2:4" s="2" customFormat="1" ht="15.75">
      <c r="B15" s="288" t="s">
        <v>534</v>
      </c>
      <c r="C15" s="292">
        <f>C8-C14</f>
        <v>31.85564912559039</v>
      </c>
      <c r="D15" s="292">
        <f>D8-D14</f>
        <v>48.497730853216126</v>
      </c>
    </row>
    <row r="16" spans="2:4" s="2" customFormat="1" ht="15.75">
      <c r="B16" s="288" t="s">
        <v>535</v>
      </c>
      <c r="C16" s="292">
        <f>'F-15'!C27</f>
        <v>486.8770498</v>
      </c>
      <c r="D16" s="292">
        <f>C17</f>
        <v>518.7326989255904</v>
      </c>
    </row>
    <row r="17" spans="2:5" s="2" customFormat="1" ht="15.75">
      <c r="B17" s="293" t="s">
        <v>38</v>
      </c>
      <c r="C17" s="291">
        <f>C16+C15</f>
        <v>518.7326989255904</v>
      </c>
      <c r="D17" s="291">
        <f>D16+D15</f>
        <v>567.2304297788065</v>
      </c>
      <c r="E17" s="15"/>
    </row>
    <row r="18" spans="3:5" s="2" customFormat="1" ht="15">
      <c r="C18" s="292"/>
      <c r="D18" s="292"/>
      <c r="E18" s="15"/>
    </row>
    <row r="19" spans="1:4" s="2" customFormat="1" ht="15.75">
      <c r="A19" s="295" t="s">
        <v>536</v>
      </c>
      <c r="C19" s="291"/>
      <c r="D19" s="291"/>
    </row>
    <row r="20" spans="1:5" s="2" customFormat="1" ht="15.75">
      <c r="A20" s="296">
        <v>1</v>
      </c>
      <c r="B20" s="297" t="s">
        <v>537</v>
      </c>
      <c r="C20" s="291"/>
      <c r="D20" s="291"/>
      <c r="E20" s="15"/>
    </row>
    <row r="21" spans="1:4" s="2" customFormat="1" ht="15.75">
      <c r="A21" s="296"/>
      <c r="B21" s="293" t="s">
        <v>35</v>
      </c>
      <c r="C21" s="291"/>
      <c r="D21" s="291"/>
    </row>
    <row r="22" spans="1:4" s="2" customFormat="1" ht="15.75">
      <c r="A22" s="287"/>
      <c r="B22" s="288" t="s">
        <v>538</v>
      </c>
      <c r="C22" s="292">
        <f>'F-2'!J65</f>
        <v>4275.3242818</v>
      </c>
      <c r="D22" s="292">
        <f>C25</f>
        <v>4499.4948875</v>
      </c>
    </row>
    <row r="23" spans="1:4" s="2" customFormat="1" ht="15.75">
      <c r="A23" s="287" t="s">
        <v>539</v>
      </c>
      <c r="B23" s="288" t="s">
        <v>540</v>
      </c>
      <c r="C23" s="292">
        <f>'F-2'!L65</f>
        <v>1119</v>
      </c>
      <c r="D23" s="292">
        <f>'F-2'!R65</f>
        <v>0</v>
      </c>
    </row>
    <row r="24" spans="1:4" s="2" customFormat="1" ht="15.75">
      <c r="A24" s="287" t="s">
        <v>539</v>
      </c>
      <c r="B24" s="288" t="s">
        <v>541</v>
      </c>
      <c r="C24" s="292">
        <f>'F-2'!M65</f>
        <v>894.8293943</v>
      </c>
      <c r="D24" s="292">
        <f>'F-2'!S65</f>
        <v>882.062214</v>
      </c>
    </row>
    <row r="25" spans="1:4" s="2" customFormat="1" ht="15.75">
      <c r="A25" s="287"/>
      <c r="B25" s="288" t="s">
        <v>542</v>
      </c>
      <c r="C25" s="292">
        <f>C22+C23-C24</f>
        <v>4499.4948875</v>
      </c>
      <c r="D25" s="292">
        <f>D22+D23-D24</f>
        <v>3617.4326735</v>
      </c>
    </row>
    <row r="26" spans="1:4" s="2" customFormat="1" ht="15.75">
      <c r="A26" s="287"/>
      <c r="B26" s="293" t="s">
        <v>72</v>
      </c>
      <c r="C26" s="291"/>
      <c r="D26" s="291"/>
    </row>
    <row r="27" spans="1:7" s="2" customFormat="1" ht="15.75">
      <c r="A27" s="287"/>
      <c r="B27" s="288" t="s">
        <v>538</v>
      </c>
      <c r="C27" s="292">
        <f>'F-2'!K65</f>
        <v>452.05611374383557</v>
      </c>
      <c r="D27" s="292">
        <f>C30</f>
        <v>554.1390700438357</v>
      </c>
      <c r="G27" s="15"/>
    </row>
    <row r="28" spans="1:7" s="2" customFormat="1" ht="15.75">
      <c r="A28" s="287" t="s">
        <v>543</v>
      </c>
      <c r="B28" s="288" t="s">
        <v>540</v>
      </c>
      <c r="C28" s="292">
        <f>'F-2'!N65</f>
        <v>446.76770398649995</v>
      </c>
      <c r="D28" s="292">
        <f>'F-2'!T65</f>
        <v>493.1274496826206</v>
      </c>
      <c r="G28" s="15"/>
    </row>
    <row r="29" spans="1:7" s="2" customFormat="1" ht="15.75">
      <c r="A29" s="287" t="s">
        <v>539</v>
      </c>
      <c r="B29" s="288" t="s">
        <v>541</v>
      </c>
      <c r="C29" s="292">
        <f>'F-2'!O65</f>
        <v>344.6847476864999</v>
      </c>
      <c r="D29" s="292">
        <f>'F-2'!U65</f>
        <v>493.1274496826206</v>
      </c>
      <c r="G29" s="15"/>
    </row>
    <row r="30" spans="1:7" s="2" customFormat="1" ht="15.75">
      <c r="A30" s="287"/>
      <c r="B30" s="288" t="s">
        <v>542</v>
      </c>
      <c r="C30" s="292">
        <f>C27+C28-C29</f>
        <v>554.1390700438357</v>
      </c>
      <c r="D30" s="292">
        <f>D27+D28-D29</f>
        <v>554.1390700438355</v>
      </c>
      <c r="G30" s="15"/>
    </row>
    <row r="31" spans="1:7" s="2" customFormat="1" ht="15.75">
      <c r="A31" s="296">
        <v>2</v>
      </c>
      <c r="B31" s="3" t="s">
        <v>544</v>
      </c>
      <c r="C31" s="291"/>
      <c r="D31" s="291"/>
      <c r="G31" s="15"/>
    </row>
    <row r="32" spans="1:7" s="2" customFormat="1" ht="15.75">
      <c r="A32" s="296"/>
      <c r="B32" s="288" t="s">
        <v>538</v>
      </c>
      <c r="C32" s="292">
        <f>'F-15'!C26</f>
        <v>2704.7584373</v>
      </c>
      <c r="D32" s="292">
        <f>C35</f>
        <v>2757.463948071093</v>
      </c>
      <c r="G32" s="15"/>
    </row>
    <row r="33" spans="1:4" s="2" customFormat="1" ht="15.75">
      <c r="A33" s="287" t="s">
        <v>543</v>
      </c>
      <c r="B33" s="288" t="s">
        <v>540</v>
      </c>
      <c r="C33" s="292">
        <f>'F-6'!D13</f>
        <v>7125.4732810531195</v>
      </c>
      <c r="D33" s="292">
        <f>'F-6'!E13</f>
        <v>7737.170783560761</v>
      </c>
    </row>
    <row r="34" spans="1:4" s="2" customFormat="1" ht="15.75">
      <c r="A34" s="287" t="s">
        <v>539</v>
      </c>
      <c r="B34" s="288" t="s">
        <v>545</v>
      </c>
      <c r="C34" s="292">
        <f>'F-6'!D17</f>
        <v>7072.7677702820265</v>
      </c>
      <c r="D34" s="292">
        <f>'F-6'!E17</f>
        <v>7686.195991685124</v>
      </c>
    </row>
    <row r="35" spans="1:4" s="2" customFormat="1" ht="15.75">
      <c r="A35" s="296"/>
      <c r="B35" s="288" t="s">
        <v>542</v>
      </c>
      <c r="C35" s="292">
        <f>C32+C33-C34</f>
        <v>2757.463948071093</v>
      </c>
      <c r="D35" s="292">
        <f>D32+D33-D34</f>
        <v>2808.4387399467296</v>
      </c>
    </row>
    <row r="36" spans="1:4" s="2" customFormat="1" ht="15.75">
      <c r="A36" s="296">
        <v>3</v>
      </c>
      <c r="B36" s="3" t="s">
        <v>546</v>
      </c>
      <c r="C36" s="291"/>
      <c r="D36" s="291"/>
    </row>
    <row r="37" spans="2:4" s="2" customFormat="1" ht="15">
      <c r="B37" s="2" t="s">
        <v>538</v>
      </c>
      <c r="C37" s="298">
        <f>'F-15'!C31+'F-15'!C32</f>
        <v>3032.1272287000006</v>
      </c>
      <c r="D37" s="298">
        <f>C46</f>
        <v>2475.83630139764</v>
      </c>
    </row>
    <row r="38" spans="2:4" s="2" customFormat="1" ht="15">
      <c r="B38" s="299" t="s">
        <v>532</v>
      </c>
      <c r="C38" s="298">
        <v>1448.4782011</v>
      </c>
      <c r="D38" s="298">
        <f>C38+C41-C44</f>
        <v>1525.6468848376398</v>
      </c>
    </row>
    <row r="39" spans="2:6" s="2" customFormat="1" ht="15">
      <c r="B39" s="299" t="s">
        <v>547</v>
      </c>
      <c r="C39" s="298">
        <f>C37-C38</f>
        <v>1583.6490276000006</v>
      </c>
      <c r="D39" s="298">
        <f>D37-D38</f>
        <v>950.1894165600002</v>
      </c>
      <c r="F39" s="294"/>
    </row>
    <row r="40" spans="1:2" s="2" customFormat="1" ht="15">
      <c r="A40" s="2" t="s">
        <v>543</v>
      </c>
      <c r="B40" s="2" t="s">
        <v>548</v>
      </c>
    </row>
    <row r="41" spans="2:4" s="2" customFormat="1" ht="15">
      <c r="B41" s="299" t="s">
        <v>532</v>
      </c>
      <c r="C41" s="298">
        <f>'F-16'!D15</f>
        <v>6353.163814651679</v>
      </c>
      <c r="D41" s="298">
        <f>'F-16'!E15</f>
        <v>7604.5199999999995</v>
      </c>
    </row>
    <row r="42" spans="2:4" s="2" customFormat="1" ht="15">
      <c r="B42" s="299" t="s">
        <v>547</v>
      </c>
      <c r="C42" s="298">
        <v>0</v>
      </c>
      <c r="D42" s="298">
        <v>0</v>
      </c>
    </row>
    <row r="43" spans="2:4" s="2" customFormat="1" ht="15">
      <c r="B43" s="299"/>
      <c r="C43" s="298"/>
      <c r="D43" s="298"/>
    </row>
    <row r="44" spans="1:4" s="2" customFormat="1" ht="15">
      <c r="A44" s="2" t="s">
        <v>539</v>
      </c>
      <c r="B44" s="2" t="s">
        <v>549</v>
      </c>
      <c r="C44" s="298">
        <f>'F-16'!C15/12+'F-16'!D15/12*11</f>
        <v>6275.995130914039</v>
      </c>
      <c r="D44" s="298">
        <f>'F-16'!D15/12+'F-16'!E15/12*11</f>
        <v>7500.240317887639</v>
      </c>
    </row>
    <row r="45" spans="1:4" s="2" customFormat="1" ht="15">
      <c r="A45" s="2" t="s">
        <v>539</v>
      </c>
      <c r="B45" s="2" t="s">
        <v>550</v>
      </c>
      <c r="C45" s="298">
        <f>C39*0.4</f>
        <v>633.4596110400003</v>
      </c>
      <c r="D45" s="298">
        <v>0</v>
      </c>
    </row>
    <row r="46" spans="2:10" ht="15.75">
      <c r="B46" s="3" t="s">
        <v>551</v>
      </c>
      <c r="C46" s="300">
        <f>C37+C41+C42-C44-C45</f>
        <v>2475.83630139764</v>
      </c>
      <c r="D46" s="300">
        <f>D37+D41+D42-D44-D45</f>
        <v>2580.1159835100007</v>
      </c>
      <c r="G46" s="2"/>
      <c r="J46" s="2"/>
    </row>
    <row r="47" spans="7:10" ht="15">
      <c r="G47" s="2"/>
      <c r="J47" s="2"/>
    </row>
    <row r="48" spans="1:10" ht="15.75">
      <c r="A48" s="296">
        <v>4</v>
      </c>
      <c r="B48" s="3" t="s">
        <v>552</v>
      </c>
      <c r="C48" s="354">
        <v>0</v>
      </c>
      <c r="D48" s="298">
        <f>'F-4'!E14*0</f>
        <v>0</v>
      </c>
      <c r="G48" s="2"/>
      <c r="J48" s="2"/>
    </row>
    <row r="49" spans="3:10" ht="15">
      <c r="C49" s="301"/>
      <c r="D49" s="301"/>
      <c r="G49" s="2"/>
      <c r="J49" s="2"/>
    </row>
    <row r="50" spans="3:10" ht="15">
      <c r="C50" s="301"/>
      <c r="D50" s="301"/>
      <c r="G50" s="2"/>
      <c r="J50" s="2"/>
    </row>
    <row r="51" spans="1:7" ht="15.75">
      <c r="A51" s="296">
        <v>5</v>
      </c>
      <c r="B51" s="302" t="s">
        <v>553</v>
      </c>
      <c r="C51" s="300">
        <f>1414.31-99.92-174.69-325.75-328.71</f>
        <v>485.23999999999984</v>
      </c>
      <c r="D51" s="300">
        <f>C53</f>
        <v>200.52999999999986</v>
      </c>
      <c r="G51" s="2"/>
    </row>
    <row r="52" spans="2:7" ht="15">
      <c r="B52" s="299" t="s">
        <v>554</v>
      </c>
      <c r="C52" s="298">
        <f>-'F-16'!D12</f>
        <v>284.71</v>
      </c>
      <c r="D52" s="298">
        <f>-'F-16'!E12</f>
        <v>200.53</v>
      </c>
      <c r="G52" s="2"/>
    </row>
    <row r="53" spans="2:7" ht="15.75">
      <c r="B53" s="299" t="s">
        <v>555</v>
      </c>
      <c r="C53" s="300">
        <f>C51-C52</f>
        <v>200.52999999999986</v>
      </c>
      <c r="D53" s="300">
        <f>D51-D52</f>
        <v>0</v>
      </c>
      <c r="G53" s="2"/>
    </row>
    <row r="54" spans="2:7" ht="15">
      <c r="B54" s="299"/>
      <c r="G54" s="2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7"/>
  <sheetViews>
    <sheetView zoomScalePageLayoutView="0" workbookViewId="0" topLeftCell="A1">
      <pane xSplit="2" ySplit="7" topLeftCell="K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0" sqref="Q20"/>
    </sheetView>
  </sheetViews>
  <sheetFormatPr defaultColWidth="9.140625" defaultRowHeight="12.75"/>
  <cols>
    <col min="1" max="1" width="4.140625" style="88" customWidth="1"/>
    <col min="2" max="2" width="27.421875" style="57" bestFit="1" customWidth="1"/>
    <col min="3" max="3" width="9.7109375" style="322" bestFit="1" customWidth="1"/>
    <col min="4" max="4" width="11.00390625" style="90" bestFit="1" customWidth="1"/>
    <col min="5" max="5" width="7.7109375" style="90" bestFit="1" customWidth="1"/>
    <col min="6" max="6" width="8.57421875" style="57" bestFit="1" customWidth="1"/>
    <col min="7" max="7" width="10.28125" style="57" bestFit="1" customWidth="1"/>
    <col min="8" max="9" width="7.7109375" style="57" bestFit="1" customWidth="1"/>
    <col min="10" max="10" width="9.28125" style="57" bestFit="1" customWidth="1"/>
    <col min="11" max="11" width="7.7109375" style="57" bestFit="1" customWidth="1"/>
    <col min="12" max="12" width="9.28125" style="57" bestFit="1" customWidth="1"/>
    <col min="13" max="13" width="10.28125" style="57" bestFit="1" customWidth="1"/>
    <col min="14" max="15" width="7.7109375" style="57" bestFit="1" customWidth="1"/>
    <col min="16" max="16" width="9.28125" style="57" bestFit="1" customWidth="1"/>
    <col min="17" max="17" width="7.7109375" style="57" bestFit="1" customWidth="1"/>
    <col min="18" max="18" width="8.57421875" style="57" bestFit="1" customWidth="1"/>
    <col min="19" max="19" width="10.28125" style="57" bestFit="1" customWidth="1"/>
    <col min="20" max="21" width="7.7109375" style="57" bestFit="1" customWidth="1"/>
    <col min="22" max="22" width="9.28125" style="57" bestFit="1" customWidth="1"/>
    <col min="23" max="23" width="7.7109375" style="57" bestFit="1" customWidth="1"/>
    <col min="24" max="24" width="11.00390625" style="57" bestFit="1" customWidth="1"/>
    <col min="25" max="16384" width="9.140625" style="57" customWidth="1"/>
  </cols>
  <sheetData>
    <row r="1" spans="1:23" s="77" customFormat="1" ht="15.75">
      <c r="A1" s="441" t="s">
        <v>268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</row>
    <row r="2" spans="1:23" s="77" customFormat="1" ht="18">
      <c r="A2" s="447" t="s">
        <v>169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</row>
    <row r="3" spans="1:23" s="77" customFormat="1" ht="15.75">
      <c r="A3" s="440" t="s">
        <v>271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</row>
    <row r="4" spans="1:23" s="77" customFormat="1" ht="15.75">
      <c r="A4" s="448" t="s">
        <v>106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</row>
    <row r="5" spans="1:23" ht="15" customHeight="1">
      <c r="A5" s="445" t="s">
        <v>37</v>
      </c>
      <c r="B5" s="445" t="s">
        <v>39</v>
      </c>
      <c r="C5" s="446" t="s">
        <v>599</v>
      </c>
      <c r="D5" s="444" t="s">
        <v>570</v>
      </c>
      <c r="E5" s="444"/>
      <c r="F5" s="444"/>
      <c r="G5" s="444"/>
      <c r="H5" s="444"/>
      <c r="I5" s="444"/>
      <c r="J5" s="444"/>
      <c r="K5" s="444"/>
      <c r="L5" s="444" t="s">
        <v>571</v>
      </c>
      <c r="M5" s="444"/>
      <c r="N5" s="444"/>
      <c r="O5" s="444"/>
      <c r="P5" s="444"/>
      <c r="Q5" s="444"/>
      <c r="R5" s="444" t="s">
        <v>572</v>
      </c>
      <c r="S5" s="444"/>
      <c r="T5" s="444"/>
      <c r="U5" s="444"/>
      <c r="V5" s="444"/>
      <c r="W5" s="444"/>
    </row>
    <row r="6" spans="1:23" ht="15" customHeight="1">
      <c r="A6" s="445"/>
      <c r="B6" s="445"/>
      <c r="C6" s="446"/>
      <c r="D6" s="444" t="s">
        <v>500</v>
      </c>
      <c r="E6" s="444"/>
      <c r="F6" s="444" t="s">
        <v>35</v>
      </c>
      <c r="G6" s="444"/>
      <c r="H6" s="444" t="s">
        <v>72</v>
      </c>
      <c r="I6" s="444"/>
      <c r="J6" s="444" t="s">
        <v>501</v>
      </c>
      <c r="K6" s="444"/>
      <c r="L6" s="444" t="s">
        <v>35</v>
      </c>
      <c r="M6" s="444"/>
      <c r="N6" s="444" t="s">
        <v>72</v>
      </c>
      <c r="O6" s="444"/>
      <c r="P6" s="444" t="s">
        <v>501</v>
      </c>
      <c r="Q6" s="444"/>
      <c r="R6" s="444" t="s">
        <v>35</v>
      </c>
      <c r="S6" s="444"/>
      <c r="T6" s="444" t="s">
        <v>72</v>
      </c>
      <c r="U6" s="444"/>
      <c r="V6" s="444" t="s">
        <v>501</v>
      </c>
      <c r="W6" s="444"/>
    </row>
    <row r="7" spans="1:23" s="86" customFormat="1" ht="21" customHeight="1">
      <c r="A7" s="445"/>
      <c r="B7" s="445"/>
      <c r="C7" s="446"/>
      <c r="D7" s="224" t="s">
        <v>35</v>
      </c>
      <c r="E7" s="225" t="s">
        <v>133</v>
      </c>
      <c r="F7" s="225" t="s">
        <v>152</v>
      </c>
      <c r="G7" s="225" t="s">
        <v>151</v>
      </c>
      <c r="H7" s="225" t="s">
        <v>153</v>
      </c>
      <c r="I7" s="225" t="s">
        <v>154</v>
      </c>
      <c r="J7" s="224" t="s">
        <v>35</v>
      </c>
      <c r="K7" s="225" t="s">
        <v>133</v>
      </c>
      <c r="L7" s="225" t="s">
        <v>152</v>
      </c>
      <c r="M7" s="225" t="s">
        <v>151</v>
      </c>
      <c r="N7" s="225" t="s">
        <v>153</v>
      </c>
      <c r="O7" s="225" t="s">
        <v>154</v>
      </c>
      <c r="P7" s="224" t="s">
        <v>35</v>
      </c>
      <c r="Q7" s="225" t="s">
        <v>133</v>
      </c>
      <c r="R7" s="225" t="s">
        <v>152</v>
      </c>
      <c r="S7" s="225" t="s">
        <v>151</v>
      </c>
      <c r="T7" s="225" t="s">
        <v>153</v>
      </c>
      <c r="U7" s="225" t="s">
        <v>154</v>
      </c>
      <c r="V7" s="224" t="s">
        <v>35</v>
      </c>
      <c r="W7" s="225" t="s">
        <v>133</v>
      </c>
    </row>
    <row r="8" spans="1:23" s="86" customFormat="1" ht="16.5" customHeight="1">
      <c r="A8" s="215" t="s">
        <v>115</v>
      </c>
      <c r="B8" s="216" t="s">
        <v>459</v>
      </c>
      <c r="C8" s="22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4" s="86" customFormat="1" ht="12.75">
      <c r="A9" s="359">
        <v>1</v>
      </c>
      <c r="B9" s="360" t="s">
        <v>460</v>
      </c>
      <c r="C9" s="224"/>
      <c r="D9" s="233">
        <v>120</v>
      </c>
      <c r="E9" s="233">
        <v>218.6136986</v>
      </c>
      <c r="F9" s="233">
        <v>0</v>
      </c>
      <c r="G9" s="233">
        <v>0</v>
      </c>
      <c r="H9" s="372">
        <v>15.6</v>
      </c>
      <c r="I9" s="233">
        <v>0</v>
      </c>
      <c r="J9" s="233">
        <f>D9+F9-G9</f>
        <v>120</v>
      </c>
      <c r="K9" s="234">
        <f>E9+H9-I9</f>
        <v>234.2136986</v>
      </c>
      <c r="L9" s="233">
        <v>0</v>
      </c>
      <c r="M9" s="233">
        <v>0</v>
      </c>
      <c r="N9" s="233">
        <v>15.6</v>
      </c>
      <c r="O9" s="233">
        <v>0</v>
      </c>
      <c r="P9" s="233">
        <f>J9+L9-M9</f>
        <v>120</v>
      </c>
      <c r="Q9" s="234">
        <f>K9+N9-O9</f>
        <v>249.81369859999998</v>
      </c>
      <c r="R9" s="233">
        <v>0</v>
      </c>
      <c r="S9" s="233">
        <f>120*0</f>
        <v>0</v>
      </c>
      <c r="T9" s="233">
        <v>15.6</v>
      </c>
      <c r="U9" s="233">
        <v>15.6</v>
      </c>
      <c r="V9" s="233">
        <f>P9+R9-S9</f>
        <v>120</v>
      </c>
      <c r="W9" s="234">
        <f>Q9+T9-U9</f>
        <v>249.81369859999998</v>
      </c>
      <c r="X9" s="315">
        <f>U9-T9</f>
        <v>0</v>
      </c>
    </row>
    <row r="10" spans="1:24" s="86" customFormat="1" ht="12.75">
      <c r="A10" s="359">
        <v>2</v>
      </c>
      <c r="B10" s="360" t="s">
        <v>461</v>
      </c>
      <c r="C10" s="224"/>
      <c r="D10" s="233">
        <v>42.5418</v>
      </c>
      <c r="E10" s="233">
        <v>57.0953746</v>
      </c>
      <c r="F10" s="233">
        <v>0</v>
      </c>
      <c r="G10" s="233">
        <v>0</v>
      </c>
      <c r="H10" s="372">
        <v>4.466889</v>
      </c>
      <c r="I10" s="233">
        <v>0</v>
      </c>
      <c r="J10" s="233">
        <f aca="true" t="shared" si="0" ref="J10:J15">D10+F10-G10</f>
        <v>42.5418</v>
      </c>
      <c r="K10" s="234">
        <f aca="true" t="shared" si="1" ref="K10:K15">E10+H10-I10</f>
        <v>61.5622636</v>
      </c>
      <c r="L10" s="233">
        <v>0</v>
      </c>
      <c r="M10" s="233">
        <v>0</v>
      </c>
      <c r="N10" s="233">
        <v>4.466889</v>
      </c>
      <c r="O10" s="233">
        <v>0</v>
      </c>
      <c r="P10" s="233">
        <f aca="true" t="shared" si="2" ref="P10:P18">J10+L10-M10</f>
        <v>42.5418</v>
      </c>
      <c r="Q10" s="234">
        <f aca="true" t="shared" si="3" ref="Q10:Q18">K10+N10-O10</f>
        <v>66.0291526</v>
      </c>
      <c r="R10" s="233">
        <v>0</v>
      </c>
      <c r="S10" s="233">
        <f>40.3768697*0</f>
        <v>0</v>
      </c>
      <c r="T10" s="233">
        <v>4.466889</v>
      </c>
      <c r="U10" s="233">
        <v>4.466889</v>
      </c>
      <c r="V10" s="233">
        <f aca="true" t="shared" si="4" ref="V10:V15">P10+R10-S10</f>
        <v>42.5418</v>
      </c>
      <c r="W10" s="234">
        <f aca="true" t="shared" si="5" ref="W10:W15">Q10+T10-U10</f>
        <v>66.0291526</v>
      </c>
      <c r="X10" s="315">
        <f>U10-T10</f>
        <v>0</v>
      </c>
    </row>
    <row r="11" spans="1:27" s="86" customFormat="1" ht="12.75">
      <c r="A11" s="359">
        <v>3</v>
      </c>
      <c r="B11" s="360" t="s">
        <v>462</v>
      </c>
      <c r="C11" s="224"/>
      <c r="D11" s="233">
        <v>818.8118134</v>
      </c>
      <c r="E11" s="233">
        <v>76.99595644383564</v>
      </c>
      <c r="F11" s="233">
        <v>0</v>
      </c>
      <c r="G11" s="233">
        <v>0</v>
      </c>
      <c r="H11" s="372">
        <v>78.9928438</v>
      </c>
      <c r="I11" s="233">
        <v>0</v>
      </c>
      <c r="J11" s="233">
        <f t="shared" si="0"/>
        <v>818.8118134</v>
      </c>
      <c r="K11" s="234">
        <f t="shared" si="1"/>
        <v>155.98880024383564</v>
      </c>
      <c r="L11" s="233">
        <v>0</v>
      </c>
      <c r="M11" s="233">
        <v>0</v>
      </c>
      <c r="N11" s="233">
        <v>82.3074186</v>
      </c>
      <c r="O11" s="233">
        <v>0</v>
      </c>
      <c r="P11" s="233">
        <f t="shared" si="2"/>
        <v>818.8118134</v>
      </c>
      <c r="Q11" s="234">
        <f t="shared" si="3"/>
        <v>238.29621884383565</v>
      </c>
      <c r="R11" s="233">
        <v>0</v>
      </c>
      <c r="S11" s="233">
        <f>771.8012134*0</f>
        <v>0</v>
      </c>
      <c r="T11" s="233">
        <v>84.71927654212057</v>
      </c>
      <c r="U11" s="233">
        <v>84.71927654212057</v>
      </c>
      <c r="V11" s="233">
        <f t="shared" si="4"/>
        <v>818.8118134</v>
      </c>
      <c r="W11" s="234">
        <f t="shared" si="5"/>
        <v>238.29621884383567</v>
      </c>
      <c r="X11" s="315">
        <f>U11-T11</f>
        <v>0</v>
      </c>
      <c r="Y11" s="355"/>
      <c r="Z11" s="356"/>
      <c r="AA11" s="356"/>
    </row>
    <row r="12" spans="1:24" s="86" customFormat="1" ht="12.75">
      <c r="A12" s="359">
        <v>4</v>
      </c>
      <c r="B12" s="360" t="s">
        <v>463</v>
      </c>
      <c r="C12" s="224"/>
      <c r="D12" s="233">
        <v>35.3483</v>
      </c>
      <c r="E12" s="233">
        <v>0.2401748</v>
      </c>
      <c r="F12" s="233">
        <v>0</v>
      </c>
      <c r="G12" s="233">
        <v>35.3483</v>
      </c>
      <c r="H12" s="372">
        <v>1.163707</v>
      </c>
      <c r="I12" s="233">
        <v>1.4038818</v>
      </c>
      <c r="J12" s="233">
        <f t="shared" si="0"/>
        <v>0</v>
      </c>
      <c r="K12" s="234">
        <f t="shared" si="1"/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f t="shared" si="2"/>
        <v>0</v>
      </c>
      <c r="Q12" s="234">
        <f t="shared" si="3"/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f t="shared" si="4"/>
        <v>0</v>
      </c>
      <c r="W12" s="234">
        <f t="shared" si="5"/>
        <v>0</v>
      </c>
      <c r="X12" s="315">
        <f>SUM(X9:X11)</f>
        <v>0</v>
      </c>
    </row>
    <row r="13" spans="1:23" s="86" customFormat="1" ht="12.75">
      <c r="A13" s="359">
        <v>5</v>
      </c>
      <c r="B13" s="360" t="s">
        <v>464</v>
      </c>
      <c r="C13" s="316"/>
      <c r="D13" s="233">
        <v>6.3497076</v>
      </c>
      <c r="E13" s="233">
        <v>0.0634787</v>
      </c>
      <c r="F13" s="233">
        <v>0</v>
      </c>
      <c r="G13" s="233">
        <v>6.3497076</v>
      </c>
      <c r="H13" s="372">
        <v>0.1536378</v>
      </c>
      <c r="I13" s="233">
        <v>0.2171165</v>
      </c>
      <c r="J13" s="233">
        <f t="shared" si="0"/>
        <v>0</v>
      </c>
      <c r="K13" s="234">
        <f t="shared" si="1"/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f t="shared" si="2"/>
        <v>0</v>
      </c>
      <c r="Q13" s="234">
        <f t="shared" si="3"/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f t="shared" si="4"/>
        <v>0</v>
      </c>
      <c r="W13" s="234">
        <f t="shared" si="5"/>
        <v>0</v>
      </c>
    </row>
    <row r="14" spans="1:23" s="86" customFormat="1" ht="12.75">
      <c r="A14" s="359">
        <v>6</v>
      </c>
      <c r="B14" s="360" t="s">
        <v>465</v>
      </c>
      <c r="C14" s="316"/>
      <c r="D14" s="233">
        <v>15.8229295</v>
      </c>
      <c r="E14" s="233">
        <v>0.1751312</v>
      </c>
      <c r="F14" s="233">
        <v>0</v>
      </c>
      <c r="G14" s="233">
        <v>15.8229295</v>
      </c>
      <c r="H14" s="372">
        <v>0.5053189</v>
      </c>
      <c r="I14" s="233">
        <v>0.6804501</v>
      </c>
      <c r="J14" s="233">
        <f t="shared" si="0"/>
        <v>0</v>
      </c>
      <c r="K14" s="234">
        <f t="shared" si="1"/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f t="shared" si="2"/>
        <v>0</v>
      </c>
      <c r="Q14" s="234">
        <f t="shared" si="3"/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f t="shared" si="4"/>
        <v>0</v>
      </c>
      <c r="W14" s="234">
        <f t="shared" si="5"/>
        <v>0</v>
      </c>
    </row>
    <row r="15" spans="1:23" s="86" customFormat="1" ht="12.75">
      <c r="A15" s="359">
        <v>7</v>
      </c>
      <c r="B15" s="360" t="s">
        <v>466</v>
      </c>
      <c r="C15" s="316"/>
      <c r="D15" s="233">
        <v>8.0133838</v>
      </c>
      <c r="E15" s="233">
        <v>0</v>
      </c>
      <c r="F15" s="233">
        <v>0</v>
      </c>
      <c r="G15" s="233">
        <v>8.0133838</v>
      </c>
      <c r="H15" s="372">
        <v>0.2566373</v>
      </c>
      <c r="I15" s="233">
        <v>0.2566373</v>
      </c>
      <c r="J15" s="233">
        <f t="shared" si="0"/>
        <v>0</v>
      </c>
      <c r="K15" s="234">
        <f t="shared" si="1"/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f t="shared" si="2"/>
        <v>0</v>
      </c>
      <c r="Q15" s="234">
        <f t="shared" si="3"/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f t="shared" si="4"/>
        <v>0</v>
      </c>
      <c r="W15" s="234">
        <f t="shared" si="5"/>
        <v>0</v>
      </c>
    </row>
    <row r="16" spans="1:23" s="86" customFormat="1" ht="12.75">
      <c r="A16" s="219"/>
      <c r="B16" s="220" t="s">
        <v>467</v>
      </c>
      <c r="C16" s="369"/>
      <c r="D16" s="236">
        <f>SUM(D9:D15)</f>
        <v>1046.8879342999999</v>
      </c>
      <c r="E16" s="236">
        <f aca="true" t="shared" si="6" ref="E16:W16">SUM(E9:E15)</f>
        <v>353.1838143438356</v>
      </c>
      <c r="F16" s="236">
        <f t="shared" si="6"/>
        <v>0</v>
      </c>
      <c r="G16" s="236">
        <f t="shared" si="6"/>
        <v>65.53432090000001</v>
      </c>
      <c r="H16" s="232">
        <f t="shared" si="6"/>
        <v>101.1390338</v>
      </c>
      <c r="I16" s="236">
        <f t="shared" si="6"/>
        <v>2.5580857</v>
      </c>
      <c r="J16" s="236">
        <f t="shared" si="6"/>
        <v>981.3536134</v>
      </c>
      <c r="K16" s="236">
        <f t="shared" si="6"/>
        <v>451.7647624438356</v>
      </c>
      <c r="L16" s="236">
        <f t="shared" si="6"/>
        <v>0</v>
      </c>
      <c r="M16" s="236">
        <f t="shared" si="6"/>
        <v>0</v>
      </c>
      <c r="N16" s="236">
        <f t="shared" si="6"/>
        <v>102.37430760000001</v>
      </c>
      <c r="O16" s="236">
        <f t="shared" si="6"/>
        <v>0</v>
      </c>
      <c r="P16" s="236">
        <f t="shared" si="6"/>
        <v>981.3536134</v>
      </c>
      <c r="Q16" s="236">
        <f t="shared" si="6"/>
        <v>554.1390700438357</v>
      </c>
      <c r="R16" s="236">
        <f>SUM(R9:R15)</f>
        <v>0</v>
      </c>
      <c r="S16" s="236">
        <f>SUM(S9:S15)</f>
        <v>0</v>
      </c>
      <c r="T16" s="236">
        <f>SUM(T9:T15)</f>
        <v>104.78616554212057</v>
      </c>
      <c r="U16" s="236">
        <f>SUM(U9:U15)</f>
        <v>104.78616554212057</v>
      </c>
      <c r="V16" s="236">
        <f t="shared" si="6"/>
        <v>981.3536134</v>
      </c>
      <c r="W16" s="236">
        <f t="shared" si="6"/>
        <v>554.1390700438357</v>
      </c>
    </row>
    <row r="17" spans="1:23" s="86" customFormat="1" ht="12.75">
      <c r="A17" s="219" t="s">
        <v>116</v>
      </c>
      <c r="B17" s="220" t="s">
        <v>468</v>
      </c>
      <c r="C17" s="224"/>
      <c r="D17" s="233"/>
      <c r="E17" s="233"/>
      <c r="F17" s="233"/>
      <c r="G17" s="233"/>
      <c r="H17" s="378"/>
      <c r="I17" s="233"/>
      <c r="J17" s="233"/>
      <c r="K17" s="234"/>
      <c r="L17" s="233"/>
      <c r="M17" s="234"/>
      <c r="N17" s="233"/>
      <c r="O17" s="233"/>
      <c r="P17" s="233"/>
      <c r="Q17" s="234"/>
      <c r="R17" s="233"/>
      <c r="S17" s="234"/>
      <c r="T17" s="233"/>
      <c r="U17" s="233"/>
      <c r="V17" s="233"/>
      <c r="W17" s="234"/>
    </row>
    <row r="18" spans="1:23" s="86" customFormat="1" ht="12.75">
      <c r="A18" s="359">
        <v>8</v>
      </c>
      <c r="B18" s="360" t="s">
        <v>469</v>
      </c>
      <c r="C18" s="224"/>
      <c r="D18" s="233">
        <v>0.0798885</v>
      </c>
      <c r="E18" s="233">
        <v>0</v>
      </c>
      <c r="F18" s="233">
        <v>0</v>
      </c>
      <c r="G18" s="233">
        <v>0.0798885</v>
      </c>
      <c r="H18" s="372">
        <v>0.0007879</v>
      </c>
      <c r="I18" s="240">
        <v>0.0007879</v>
      </c>
      <c r="J18" s="233">
        <f>D18+F18-G18</f>
        <v>0</v>
      </c>
      <c r="K18" s="234">
        <f>E18+H18-I18</f>
        <v>0</v>
      </c>
      <c r="L18" s="233">
        <v>0</v>
      </c>
      <c r="M18" s="235">
        <v>0</v>
      </c>
      <c r="N18" s="233">
        <v>0</v>
      </c>
      <c r="O18" s="233">
        <f>N18+K18</f>
        <v>0</v>
      </c>
      <c r="P18" s="233">
        <f t="shared" si="2"/>
        <v>0</v>
      </c>
      <c r="Q18" s="234">
        <f t="shared" si="3"/>
        <v>0</v>
      </c>
      <c r="R18" s="233">
        <v>0</v>
      </c>
      <c r="S18" s="235">
        <v>0</v>
      </c>
      <c r="T18" s="233">
        <v>0</v>
      </c>
      <c r="U18" s="233">
        <f>T18+Q18</f>
        <v>0</v>
      </c>
      <c r="V18" s="233">
        <f>P18+R18-S18</f>
        <v>0</v>
      </c>
      <c r="W18" s="234">
        <f>Q18+T18-U18</f>
        <v>0</v>
      </c>
    </row>
    <row r="19" spans="1:23" s="86" customFormat="1" ht="12.75">
      <c r="A19" s="359"/>
      <c r="B19" s="220" t="s">
        <v>467</v>
      </c>
      <c r="C19" s="316"/>
      <c r="D19" s="236">
        <f>SUM(D18)</f>
        <v>0.0798885</v>
      </c>
      <c r="E19" s="236">
        <f aca="true" t="shared" si="7" ref="E19:W19">SUM(E18)</f>
        <v>0</v>
      </c>
      <c r="F19" s="236">
        <f t="shared" si="7"/>
        <v>0</v>
      </c>
      <c r="G19" s="236">
        <f t="shared" si="7"/>
        <v>0.0798885</v>
      </c>
      <c r="H19" s="232">
        <f t="shared" si="7"/>
        <v>0.0007879</v>
      </c>
      <c r="I19" s="236">
        <f t="shared" si="7"/>
        <v>0.0007879</v>
      </c>
      <c r="J19" s="236">
        <f t="shared" si="7"/>
        <v>0</v>
      </c>
      <c r="K19" s="236">
        <f t="shared" si="7"/>
        <v>0</v>
      </c>
      <c r="L19" s="236">
        <f t="shared" si="7"/>
        <v>0</v>
      </c>
      <c r="M19" s="236">
        <f t="shared" si="7"/>
        <v>0</v>
      </c>
      <c r="N19" s="236">
        <f t="shared" si="7"/>
        <v>0</v>
      </c>
      <c r="O19" s="236">
        <f t="shared" si="7"/>
        <v>0</v>
      </c>
      <c r="P19" s="236">
        <f t="shared" si="7"/>
        <v>0</v>
      </c>
      <c r="Q19" s="236">
        <f t="shared" si="7"/>
        <v>0</v>
      </c>
      <c r="R19" s="236">
        <f t="shared" si="7"/>
        <v>0</v>
      </c>
      <c r="S19" s="236">
        <f t="shared" si="7"/>
        <v>0</v>
      </c>
      <c r="T19" s="236">
        <f t="shared" si="7"/>
        <v>0</v>
      </c>
      <c r="U19" s="236">
        <f t="shared" si="7"/>
        <v>0</v>
      </c>
      <c r="V19" s="236">
        <f t="shared" si="7"/>
        <v>0</v>
      </c>
      <c r="W19" s="236">
        <f t="shared" si="7"/>
        <v>0</v>
      </c>
    </row>
    <row r="20" spans="1:23" s="86" customFormat="1" ht="12.75">
      <c r="A20" s="219" t="s">
        <v>28</v>
      </c>
      <c r="B20" s="220" t="s">
        <v>470</v>
      </c>
      <c r="C20" s="316"/>
      <c r="D20" s="237"/>
      <c r="E20" s="237"/>
      <c r="F20" s="233"/>
      <c r="G20" s="233"/>
      <c r="H20" s="378"/>
      <c r="I20" s="233"/>
      <c r="J20" s="233"/>
      <c r="K20" s="234"/>
      <c r="L20" s="233"/>
      <c r="M20" s="235"/>
      <c r="N20" s="233"/>
      <c r="O20" s="233"/>
      <c r="P20" s="233"/>
      <c r="Q20" s="235"/>
      <c r="R20" s="233"/>
      <c r="S20" s="235"/>
      <c r="T20" s="233"/>
      <c r="U20" s="233"/>
      <c r="V20" s="233"/>
      <c r="W20" s="235"/>
    </row>
    <row r="21" spans="1:23" s="86" customFormat="1" ht="12.75">
      <c r="A21" s="359">
        <v>9</v>
      </c>
      <c r="B21" s="360" t="s">
        <v>471</v>
      </c>
      <c r="C21" s="316"/>
      <c r="D21" s="238">
        <v>100</v>
      </c>
      <c r="E21" s="238">
        <v>0</v>
      </c>
      <c r="F21" s="233">
        <v>100</v>
      </c>
      <c r="G21" s="233">
        <v>100.1115269</v>
      </c>
      <c r="H21" s="372">
        <v>10.6207004</v>
      </c>
      <c r="I21" s="233">
        <v>10.6207004</v>
      </c>
      <c r="J21" s="233">
        <f aca="true" t="shared" si="8" ref="J21:J31">D21+F21-G21</f>
        <v>99.8884731</v>
      </c>
      <c r="K21" s="234">
        <f aca="true" t="shared" si="9" ref="K21:K31">E21+H21-I21</f>
        <v>0</v>
      </c>
      <c r="L21" s="233">
        <v>0</v>
      </c>
      <c r="M21" s="233">
        <v>0</v>
      </c>
      <c r="N21" s="233">
        <v>10.9877319</v>
      </c>
      <c r="O21" s="233">
        <v>10.9877319</v>
      </c>
      <c r="P21" s="233">
        <f aca="true" t="shared" si="10" ref="P21:P31">J21+L21-M21</f>
        <v>99.8884731</v>
      </c>
      <c r="Q21" s="234">
        <f aca="true" t="shared" si="11" ref="Q21:Q31">K21+N21-O21</f>
        <v>0</v>
      </c>
      <c r="R21" s="233"/>
      <c r="S21" s="233">
        <v>99.8884731</v>
      </c>
      <c r="T21" s="233">
        <v>11.0178353</v>
      </c>
      <c r="U21" s="233">
        <v>11.0178353</v>
      </c>
      <c r="V21" s="233">
        <f aca="true" t="shared" si="12" ref="V21:V26">P21+R21-S21</f>
        <v>0</v>
      </c>
      <c r="W21" s="234">
        <f aca="true" t="shared" si="13" ref="W21:W26">Q21+T21-U21</f>
        <v>0</v>
      </c>
    </row>
    <row r="22" spans="1:23" s="86" customFormat="1" ht="12.75">
      <c r="A22" s="359">
        <v>10</v>
      </c>
      <c r="B22" s="360" t="s">
        <v>472</v>
      </c>
      <c r="C22" s="224"/>
      <c r="D22" s="238">
        <v>84.9506412</v>
      </c>
      <c r="E22" s="238">
        <v>0.8499008</v>
      </c>
      <c r="F22" s="233">
        <v>0</v>
      </c>
      <c r="G22" s="233">
        <v>43.4537942</v>
      </c>
      <c r="H22" s="372">
        <v>7.3738259</v>
      </c>
      <c r="I22" s="233">
        <v>8.2237267</v>
      </c>
      <c r="J22" s="233">
        <f t="shared" si="8"/>
        <v>41.49684700000001</v>
      </c>
      <c r="K22" s="234">
        <f t="shared" si="9"/>
        <v>0</v>
      </c>
      <c r="L22" s="233">
        <v>0</v>
      </c>
      <c r="M22" s="233">
        <v>40.2</v>
      </c>
      <c r="N22" s="233">
        <v>2.6590676</v>
      </c>
      <c r="O22" s="233">
        <v>2.6590676</v>
      </c>
      <c r="P22" s="233">
        <f t="shared" si="10"/>
        <v>1.2968470000000067</v>
      </c>
      <c r="Q22" s="234">
        <f t="shared" si="11"/>
        <v>0</v>
      </c>
      <c r="R22" s="233">
        <v>0</v>
      </c>
      <c r="S22" s="233">
        <f>P22</f>
        <v>1.2968470000000067</v>
      </c>
      <c r="T22" s="233">
        <v>0.0122579</v>
      </c>
      <c r="U22" s="233">
        <v>0.0122579</v>
      </c>
      <c r="V22" s="233">
        <f t="shared" si="12"/>
        <v>0</v>
      </c>
      <c r="W22" s="234">
        <f t="shared" si="13"/>
        <v>0</v>
      </c>
    </row>
    <row r="23" spans="1:23" s="86" customFormat="1" ht="12.75">
      <c r="A23" s="359">
        <v>13</v>
      </c>
      <c r="B23" s="360" t="s">
        <v>475</v>
      </c>
      <c r="C23" s="316"/>
      <c r="D23" s="238">
        <v>43.5605742</v>
      </c>
      <c r="E23" s="238">
        <v>0.4343549</v>
      </c>
      <c r="F23" s="233">
        <v>0</v>
      </c>
      <c r="G23" s="233">
        <v>27.1318429</v>
      </c>
      <c r="H23" s="372">
        <v>3.5680509</v>
      </c>
      <c r="I23" s="233">
        <v>4.0024058</v>
      </c>
      <c r="J23" s="233">
        <f t="shared" si="8"/>
        <v>16.4287313</v>
      </c>
      <c r="K23" s="234">
        <f t="shared" si="9"/>
        <v>0</v>
      </c>
      <c r="L23" s="233">
        <v>0</v>
      </c>
      <c r="M23" s="233">
        <v>16.4287313</v>
      </c>
      <c r="N23" s="233">
        <v>0.7158648</v>
      </c>
      <c r="O23" s="233">
        <v>0.7158648</v>
      </c>
      <c r="P23" s="233">
        <f t="shared" si="10"/>
        <v>0</v>
      </c>
      <c r="Q23" s="234">
        <f t="shared" si="11"/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f t="shared" si="12"/>
        <v>0</v>
      </c>
      <c r="W23" s="234">
        <f t="shared" si="13"/>
        <v>0</v>
      </c>
    </row>
    <row r="24" spans="1:23" s="86" customFormat="1" ht="12.75">
      <c r="A24" s="359">
        <v>17</v>
      </c>
      <c r="B24" s="360" t="s">
        <v>479</v>
      </c>
      <c r="C24" s="316"/>
      <c r="D24" s="238">
        <v>44.8890593</v>
      </c>
      <c r="E24" s="238">
        <v>0</v>
      </c>
      <c r="F24" s="233">
        <v>0</v>
      </c>
      <c r="G24" s="233">
        <v>20.1037206</v>
      </c>
      <c r="H24" s="372">
        <v>4.2338288</v>
      </c>
      <c r="I24" s="233">
        <v>4.2338288</v>
      </c>
      <c r="J24" s="233">
        <f t="shared" si="8"/>
        <v>24.7853387</v>
      </c>
      <c r="K24" s="234">
        <f t="shared" si="9"/>
        <v>0</v>
      </c>
      <c r="L24" s="233">
        <v>0</v>
      </c>
      <c r="M24" s="233">
        <v>20.04</v>
      </c>
      <c r="N24" s="233">
        <v>1.8672477</v>
      </c>
      <c r="O24" s="233">
        <v>1.8672477</v>
      </c>
      <c r="P24" s="233">
        <f t="shared" si="10"/>
        <v>4.745338700000001</v>
      </c>
      <c r="Q24" s="234">
        <f t="shared" si="11"/>
        <v>0</v>
      </c>
      <c r="R24" s="233">
        <v>0</v>
      </c>
      <c r="S24" s="233">
        <v>4.7453387</v>
      </c>
      <c r="T24" s="233">
        <v>0.091624</v>
      </c>
      <c r="U24" s="233">
        <v>0.091624</v>
      </c>
      <c r="V24" s="233">
        <f t="shared" si="12"/>
        <v>0</v>
      </c>
      <c r="W24" s="234">
        <f t="shared" si="13"/>
        <v>0</v>
      </c>
    </row>
    <row r="25" spans="1:23" s="86" customFormat="1" ht="12.75">
      <c r="A25" s="359">
        <v>18</v>
      </c>
      <c r="B25" s="360" t="s">
        <v>480</v>
      </c>
      <c r="C25" s="224"/>
      <c r="D25" s="238">
        <v>31.0565425</v>
      </c>
      <c r="E25" s="238">
        <v>0</v>
      </c>
      <c r="F25" s="233">
        <v>0</v>
      </c>
      <c r="G25" s="233">
        <v>12.5931909</v>
      </c>
      <c r="H25" s="372">
        <v>3.0424929</v>
      </c>
      <c r="I25" s="233">
        <v>3.0424929</v>
      </c>
      <c r="J25" s="233">
        <f t="shared" si="8"/>
        <v>18.4633516</v>
      </c>
      <c r="K25" s="234">
        <f t="shared" si="9"/>
        <v>0</v>
      </c>
      <c r="L25" s="233">
        <v>0</v>
      </c>
      <c r="M25" s="233">
        <v>12.6</v>
      </c>
      <c r="N25" s="233">
        <v>1.524501</v>
      </c>
      <c r="O25" s="233">
        <v>1.524501</v>
      </c>
      <c r="P25" s="233">
        <f t="shared" si="10"/>
        <v>5.8633516</v>
      </c>
      <c r="Q25" s="234">
        <f t="shared" si="11"/>
        <v>0</v>
      </c>
      <c r="R25" s="233">
        <v>0</v>
      </c>
      <c r="S25" s="233">
        <v>5.8633516</v>
      </c>
      <c r="T25" s="233">
        <v>0.1946608</v>
      </c>
      <c r="U25" s="233">
        <v>0.1946608</v>
      </c>
      <c r="V25" s="233">
        <f t="shared" si="12"/>
        <v>0</v>
      </c>
      <c r="W25" s="234">
        <f t="shared" si="13"/>
        <v>0</v>
      </c>
    </row>
    <row r="26" spans="1:23" s="86" customFormat="1" ht="12.75">
      <c r="A26" s="359">
        <v>19</v>
      </c>
      <c r="B26" s="360" t="s">
        <v>481</v>
      </c>
      <c r="C26" s="224"/>
      <c r="D26" s="238">
        <v>35.8404817</v>
      </c>
      <c r="E26" s="238">
        <v>0</v>
      </c>
      <c r="F26" s="233">
        <v>0</v>
      </c>
      <c r="G26" s="233">
        <v>9.9587707</v>
      </c>
      <c r="H26" s="372">
        <v>3.7170048</v>
      </c>
      <c r="I26" s="233">
        <v>3.7170048</v>
      </c>
      <c r="J26" s="233">
        <f t="shared" si="8"/>
        <v>25.881710999999996</v>
      </c>
      <c r="K26" s="234">
        <f t="shared" si="9"/>
        <v>0</v>
      </c>
      <c r="L26" s="233">
        <v>0</v>
      </c>
      <c r="M26" s="233">
        <v>9.96</v>
      </c>
      <c r="N26" s="233">
        <v>2.5532104</v>
      </c>
      <c r="O26" s="233">
        <v>2.5532104</v>
      </c>
      <c r="P26" s="233">
        <f t="shared" si="10"/>
        <v>15.921710999999995</v>
      </c>
      <c r="Q26" s="234">
        <f t="shared" si="11"/>
        <v>0</v>
      </c>
      <c r="R26" s="233">
        <v>0</v>
      </c>
      <c r="S26" s="233">
        <v>9.96</v>
      </c>
      <c r="T26" s="233">
        <v>1.3635065</v>
      </c>
      <c r="U26" s="233">
        <v>1.3635065</v>
      </c>
      <c r="V26" s="233">
        <f t="shared" si="12"/>
        <v>5.961710999999994</v>
      </c>
      <c r="W26" s="234">
        <f t="shared" si="13"/>
        <v>0</v>
      </c>
    </row>
    <row r="27" spans="1:23" s="86" customFormat="1" ht="12.75">
      <c r="A27" s="359">
        <v>14</v>
      </c>
      <c r="B27" s="360" t="s">
        <v>476</v>
      </c>
      <c r="C27" s="316"/>
      <c r="D27" s="238">
        <v>69.4837204</v>
      </c>
      <c r="E27" s="238">
        <v>0.7076299</v>
      </c>
      <c r="F27" s="233">
        <v>0</v>
      </c>
      <c r="G27" s="233">
        <v>36.0576446</v>
      </c>
      <c r="H27" s="372">
        <v>5.9845978</v>
      </c>
      <c r="I27" s="233">
        <v>6.6922277</v>
      </c>
      <c r="J27" s="233">
        <f t="shared" si="8"/>
        <v>33.42607579999999</v>
      </c>
      <c r="K27" s="234">
        <f t="shared" si="9"/>
        <v>0</v>
      </c>
      <c r="L27" s="233">
        <v>0</v>
      </c>
      <c r="M27" s="233">
        <v>33.4260758</v>
      </c>
      <c r="N27" s="233">
        <v>2.0918678</v>
      </c>
      <c r="O27" s="233">
        <v>2.0918678</v>
      </c>
      <c r="P27" s="233">
        <f t="shared" si="10"/>
        <v>0</v>
      </c>
      <c r="Q27" s="234">
        <f t="shared" si="11"/>
        <v>0</v>
      </c>
      <c r="R27" s="233">
        <v>0</v>
      </c>
      <c r="S27" s="233">
        <v>0</v>
      </c>
      <c r="T27" s="233">
        <v>0</v>
      </c>
      <c r="U27" s="233">
        <v>0</v>
      </c>
      <c r="V27" s="233">
        <f>P27+R27-S27</f>
        <v>0</v>
      </c>
      <c r="W27" s="234">
        <f>Q27+T27-U27</f>
        <v>0</v>
      </c>
    </row>
    <row r="28" spans="1:23" s="86" customFormat="1" ht="12.75">
      <c r="A28" s="359">
        <v>15</v>
      </c>
      <c r="B28" s="360" t="s">
        <v>477</v>
      </c>
      <c r="C28" s="224"/>
      <c r="D28" s="238">
        <v>138.9858501</v>
      </c>
      <c r="E28" s="238">
        <v>1.4155251</v>
      </c>
      <c r="F28" s="233">
        <v>0</v>
      </c>
      <c r="G28" s="233">
        <v>72.1211995</v>
      </c>
      <c r="H28" s="372">
        <v>11.9654044</v>
      </c>
      <c r="I28" s="233">
        <v>13.3809295</v>
      </c>
      <c r="J28" s="233">
        <f t="shared" si="8"/>
        <v>66.86465059999999</v>
      </c>
      <c r="K28" s="234">
        <f t="shared" si="9"/>
        <v>0</v>
      </c>
      <c r="L28" s="233">
        <v>0</v>
      </c>
      <c r="M28" s="233">
        <v>66.8646506</v>
      </c>
      <c r="N28" s="233">
        <v>4.1851729</v>
      </c>
      <c r="O28" s="233">
        <v>4.1851729</v>
      </c>
      <c r="P28" s="233">
        <f t="shared" si="10"/>
        <v>0</v>
      </c>
      <c r="Q28" s="234">
        <f t="shared" si="11"/>
        <v>0</v>
      </c>
      <c r="R28" s="233">
        <v>0</v>
      </c>
      <c r="S28" s="233">
        <v>0</v>
      </c>
      <c r="T28" s="233">
        <v>0</v>
      </c>
      <c r="U28" s="233">
        <v>0</v>
      </c>
      <c r="V28" s="233">
        <f>P28+R28-S28</f>
        <v>0</v>
      </c>
      <c r="W28" s="234">
        <f>Q28+T28-U28</f>
        <v>0</v>
      </c>
    </row>
    <row r="29" spans="1:23" s="368" customFormat="1" ht="12.75">
      <c r="A29" s="217">
        <v>11</v>
      </c>
      <c r="B29" s="218" t="s">
        <v>473</v>
      </c>
      <c r="C29" s="370"/>
      <c r="D29" s="238">
        <v>78.33375</v>
      </c>
      <c r="E29" s="238">
        <v>0</v>
      </c>
      <c r="F29" s="238">
        <v>0</v>
      </c>
      <c r="G29" s="238">
        <v>78.33375</v>
      </c>
      <c r="H29" s="372">
        <v>8.4959242</v>
      </c>
      <c r="I29" s="238">
        <v>8.4959242</v>
      </c>
      <c r="J29" s="233">
        <f t="shared" si="8"/>
        <v>0</v>
      </c>
      <c r="K29" s="234">
        <f t="shared" si="9"/>
        <v>0</v>
      </c>
      <c r="L29" s="233">
        <v>0</v>
      </c>
      <c r="M29" s="233">
        <v>0</v>
      </c>
      <c r="N29" s="233">
        <v>0</v>
      </c>
      <c r="O29" s="233"/>
      <c r="P29" s="233">
        <f t="shared" si="10"/>
        <v>0</v>
      </c>
      <c r="Q29" s="234">
        <f t="shared" si="11"/>
        <v>0</v>
      </c>
      <c r="R29" s="238">
        <f>SUM(R21:R22)</f>
        <v>0</v>
      </c>
      <c r="S29" s="233">
        <v>0</v>
      </c>
      <c r="T29" s="233">
        <v>0</v>
      </c>
      <c r="U29" s="233">
        <v>0</v>
      </c>
      <c r="V29" s="233">
        <f>P29+R29-S29</f>
        <v>0</v>
      </c>
      <c r="W29" s="234">
        <f>Q29+T29-U29</f>
        <v>0</v>
      </c>
    </row>
    <row r="30" spans="1:23" s="86" customFormat="1" ht="12.75">
      <c r="A30" s="359">
        <v>12</v>
      </c>
      <c r="B30" s="360" t="s">
        <v>474</v>
      </c>
      <c r="C30" s="316"/>
      <c r="D30" s="237">
        <v>98.2705036</v>
      </c>
      <c r="E30" s="237">
        <v>0</v>
      </c>
      <c r="F30" s="233">
        <v>0</v>
      </c>
      <c r="G30" s="233">
        <v>98.2705036</v>
      </c>
      <c r="H30" s="372">
        <v>9.7571058</v>
      </c>
      <c r="I30" s="233">
        <v>9.7571058</v>
      </c>
      <c r="J30" s="233">
        <f t="shared" si="8"/>
        <v>0</v>
      </c>
      <c r="K30" s="234">
        <f t="shared" si="9"/>
        <v>0</v>
      </c>
      <c r="L30" s="233">
        <v>0</v>
      </c>
      <c r="M30" s="233">
        <v>0</v>
      </c>
      <c r="N30" s="233">
        <v>0</v>
      </c>
      <c r="O30" s="233"/>
      <c r="P30" s="233">
        <f t="shared" si="10"/>
        <v>0</v>
      </c>
      <c r="Q30" s="234">
        <f t="shared" si="11"/>
        <v>0</v>
      </c>
      <c r="R30" s="233"/>
      <c r="S30" s="233">
        <v>0</v>
      </c>
      <c r="T30" s="233">
        <v>0</v>
      </c>
      <c r="U30" s="233">
        <v>0</v>
      </c>
      <c r="V30" s="233">
        <f>P30+R30-S30</f>
        <v>0</v>
      </c>
      <c r="W30" s="234">
        <f>Q30+T30-U30</f>
        <v>0</v>
      </c>
    </row>
    <row r="31" spans="1:23" s="86" customFormat="1" ht="12.75">
      <c r="A31" s="359">
        <v>16</v>
      </c>
      <c r="B31" s="360" t="s">
        <v>478</v>
      </c>
      <c r="C31" s="316"/>
      <c r="D31" s="238">
        <v>26.4989492</v>
      </c>
      <c r="E31" s="238">
        <v>0</v>
      </c>
      <c r="F31" s="233">
        <v>0</v>
      </c>
      <c r="G31" s="233">
        <v>26.4989492</v>
      </c>
      <c r="H31" s="372">
        <v>1.8159448</v>
      </c>
      <c r="I31" s="233">
        <v>1.8159448</v>
      </c>
      <c r="J31" s="233">
        <f t="shared" si="8"/>
        <v>0</v>
      </c>
      <c r="K31" s="234">
        <f t="shared" si="9"/>
        <v>0</v>
      </c>
      <c r="L31" s="233">
        <v>0</v>
      </c>
      <c r="M31" s="233">
        <v>0</v>
      </c>
      <c r="N31" s="233">
        <v>0</v>
      </c>
      <c r="O31" s="233">
        <f>N31+K31</f>
        <v>0</v>
      </c>
      <c r="P31" s="233">
        <f t="shared" si="10"/>
        <v>0</v>
      </c>
      <c r="Q31" s="234">
        <f t="shared" si="11"/>
        <v>0</v>
      </c>
      <c r="R31" s="233">
        <v>0</v>
      </c>
      <c r="S31" s="233">
        <v>0</v>
      </c>
      <c r="T31" s="233">
        <v>0</v>
      </c>
      <c r="U31" s="233">
        <v>0</v>
      </c>
      <c r="V31" s="233">
        <f>P31+R31-S31</f>
        <v>0</v>
      </c>
      <c r="W31" s="234">
        <f>Q31+T31-U31</f>
        <v>0</v>
      </c>
    </row>
    <row r="32" spans="1:23" s="86" customFormat="1" ht="12.75">
      <c r="A32" s="219"/>
      <c r="B32" s="220" t="s">
        <v>467</v>
      </c>
      <c r="C32" s="371"/>
      <c r="D32" s="239">
        <f aca="true" t="shared" si="14" ref="D32:W32">SUM(D21:D31)</f>
        <v>751.8700721999999</v>
      </c>
      <c r="E32" s="239">
        <f t="shared" si="14"/>
        <v>3.4074107000000002</v>
      </c>
      <c r="F32" s="239">
        <f t="shared" si="14"/>
        <v>100</v>
      </c>
      <c r="G32" s="239">
        <f t="shared" si="14"/>
        <v>524.6348931</v>
      </c>
      <c r="H32" s="379">
        <f t="shared" si="14"/>
        <v>70.5748807</v>
      </c>
      <c r="I32" s="239">
        <f t="shared" si="14"/>
        <v>73.98229140000001</v>
      </c>
      <c r="J32" s="239">
        <f t="shared" si="14"/>
        <v>327.23517910000004</v>
      </c>
      <c r="K32" s="239">
        <f t="shared" si="14"/>
        <v>0</v>
      </c>
      <c r="L32" s="239">
        <f t="shared" si="14"/>
        <v>0</v>
      </c>
      <c r="M32" s="239">
        <f t="shared" si="14"/>
        <v>199.5194577</v>
      </c>
      <c r="N32" s="239">
        <f t="shared" si="14"/>
        <v>26.5846641</v>
      </c>
      <c r="O32" s="239">
        <f t="shared" si="14"/>
        <v>26.5846641</v>
      </c>
      <c r="P32" s="239">
        <f t="shared" si="14"/>
        <v>127.7157214</v>
      </c>
      <c r="Q32" s="239">
        <f t="shared" si="14"/>
        <v>0</v>
      </c>
      <c r="R32" s="239">
        <f t="shared" si="14"/>
        <v>0</v>
      </c>
      <c r="S32" s="239">
        <f t="shared" si="14"/>
        <v>121.75401040000003</v>
      </c>
      <c r="T32" s="239">
        <f t="shared" si="14"/>
        <v>12.679884499999998</v>
      </c>
      <c r="U32" s="239">
        <f t="shared" si="14"/>
        <v>12.679884499999998</v>
      </c>
      <c r="V32" s="239">
        <f t="shared" si="14"/>
        <v>5.961710999999994</v>
      </c>
      <c r="W32" s="239">
        <f t="shared" si="14"/>
        <v>0</v>
      </c>
    </row>
    <row r="33" spans="1:23" s="86" customFormat="1" ht="12.75">
      <c r="A33" s="219" t="s">
        <v>27</v>
      </c>
      <c r="B33" s="220" t="s">
        <v>482</v>
      </c>
      <c r="C33" s="224"/>
      <c r="D33" s="238"/>
      <c r="E33" s="238"/>
      <c r="F33" s="233"/>
      <c r="G33" s="233"/>
      <c r="H33" s="378"/>
      <c r="I33" s="233"/>
      <c r="J33" s="233"/>
      <c r="K33" s="234"/>
      <c r="L33" s="233"/>
      <c r="M33" s="233"/>
      <c r="N33" s="233"/>
      <c r="O33" s="233"/>
      <c r="P33" s="233"/>
      <c r="Q33" s="234"/>
      <c r="R33" s="233"/>
      <c r="S33" s="233"/>
      <c r="T33" s="233"/>
      <c r="U33" s="233"/>
      <c r="V33" s="233"/>
      <c r="W33" s="234"/>
    </row>
    <row r="34" spans="1:23" s="86" customFormat="1" ht="12.75">
      <c r="A34" s="359">
        <v>23</v>
      </c>
      <c r="B34" s="360" t="s">
        <v>486</v>
      </c>
      <c r="C34" s="317"/>
      <c r="D34" s="240">
        <v>44.1022522</v>
      </c>
      <c r="E34" s="237">
        <v>0</v>
      </c>
      <c r="F34" s="233">
        <v>0</v>
      </c>
      <c r="G34" s="233">
        <v>9.9594215</v>
      </c>
      <c r="H34" s="372">
        <v>4.698373</v>
      </c>
      <c r="I34" s="233">
        <v>4.698373</v>
      </c>
      <c r="J34" s="233">
        <f aca="true" t="shared" si="15" ref="J34:J44">D34+F34-G34</f>
        <v>34.142830700000005</v>
      </c>
      <c r="K34" s="234">
        <f>E34+H34-I34</f>
        <v>0</v>
      </c>
      <c r="L34" s="233"/>
      <c r="M34" s="233">
        <v>9.96</v>
      </c>
      <c r="N34" s="233">
        <v>3.5508404</v>
      </c>
      <c r="O34" s="233">
        <v>3.5508404</v>
      </c>
      <c r="P34" s="233">
        <f aca="true" t="shared" si="16" ref="P34:P44">J34+L34-M34</f>
        <v>24.182830700000004</v>
      </c>
      <c r="Q34" s="234">
        <f aca="true" t="shared" si="17" ref="Q34:Q44">K34+N34-O34</f>
        <v>0</v>
      </c>
      <c r="R34" s="233">
        <v>0</v>
      </c>
      <c r="S34" s="233">
        <v>9.96</v>
      </c>
      <c r="T34" s="233">
        <v>2.3608623</v>
      </c>
      <c r="U34" s="233">
        <v>2.3608623</v>
      </c>
      <c r="V34" s="233">
        <f>P34+R34-S34</f>
        <v>14.222830700000003</v>
      </c>
      <c r="W34" s="234">
        <f>Q34+T34-U34</f>
        <v>0</v>
      </c>
    </row>
    <row r="35" spans="1:23" s="86" customFormat="1" ht="12.75">
      <c r="A35" s="359">
        <v>27</v>
      </c>
      <c r="B35" s="221" t="s">
        <v>586</v>
      </c>
      <c r="C35" s="225"/>
      <c r="D35" s="238">
        <v>189.391057</v>
      </c>
      <c r="E35" s="238">
        <v>0.2117452</v>
      </c>
      <c r="F35" s="233">
        <v>0</v>
      </c>
      <c r="G35" s="233">
        <v>41.1225137</v>
      </c>
      <c r="H35" s="372">
        <v>18.6360017</v>
      </c>
      <c r="I35" s="233">
        <v>18.8477469</v>
      </c>
      <c r="J35" s="233">
        <f t="shared" si="15"/>
        <v>148.26854329999998</v>
      </c>
      <c r="K35" s="234">
        <f>E35+H35-I35</f>
        <v>0</v>
      </c>
      <c r="L35" s="233">
        <v>0</v>
      </c>
      <c r="M35" s="233">
        <v>38.04</v>
      </c>
      <c r="N35" s="233">
        <v>14.3969441</v>
      </c>
      <c r="O35" s="233">
        <v>14.3969441</v>
      </c>
      <c r="P35" s="233">
        <f t="shared" si="16"/>
        <v>110.22854329999998</v>
      </c>
      <c r="Q35" s="234">
        <f t="shared" si="17"/>
        <v>0</v>
      </c>
      <c r="R35" s="233">
        <v>0</v>
      </c>
      <c r="S35" s="233">
        <v>38.04</v>
      </c>
      <c r="T35" s="233">
        <v>10.2362103</v>
      </c>
      <c r="U35" s="233">
        <v>10.2362103</v>
      </c>
      <c r="V35" s="233">
        <f aca="true" t="shared" si="18" ref="V35:V44">P35+R35-S35</f>
        <v>72.18854329999999</v>
      </c>
      <c r="W35" s="234">
        <f aca="true" t="shared" si="19" ref="W35:W44">Q35+T35-U35</f>
        <v>0</v>
      </c>
    </row>
    <row r="36" spans="1:23" s="86" customFormat="1" ht="12.75">
      <c r="A36" s="359">
        <v>20</v>
      </c>
      <c r="B36" s="360" t="s">
        <v>483</v>
      </c>
      <c r="C36" s="316"/>
      <c r="D36" s="238">
        <v>191.6559726</v>
      </c>
      <c r="E36" s="238">
        <v>1.8312607</v>
      </c>
      <c r="F36" s="233">
        <v>0</v>
      </c>
      <c r="G36" s="233">
        <v>36.1021382</v>
      </c>
      <c r="H36" s="372">
        <v>19.0556462</v>
      </c>
      <c r="I36" s="233">
        <v>20.8869069</v>
      </c>
      <c r="J36" s="233">
        <f t="shared" si="15"/>
        <v>155.55383440000003</v>
      </c>
      <c r="K36" s="234">
        <f>E36+H36-I36</f>
        <v>0</v>
      </c>
      <c r="L36" s="233">
        <v>0</v>
      </c>
      <c r="M36" s="233">
        <v>33.36</v>
      </c>
      <c r="N36" s="233">
        <v>15.3634771</v>
      </c>
      <c r="O36" s="233">
        <v>15.3634771</v>
      </c>
      <c r="P36" s="233">
        <f t="shared" si="16"/>
        <v>122.19383440000003</v>
      </c>
      <c r="Q36" s="234">
        <f t="shared" si="17"/>
        <v>0</v>
      </c>
      <c r="R36" s="233">
        <v>0</v>
      </c>
      <c r="S36" s="233">
        <v>33.36</v>
      </c>
      <c r="T36" s="233">
        <v>11.7388753</v>
      </c>
      <c r="U36" s="233">
        <v>11.7388753</v>
      </c>
      <c r="V36" s="233">
        <f t="shared" si="18"/>
        <v>88.83383440000003</v>
      </c>
      <c r="W36" s="234">
        <f t="shared" si="19"/>
        <v>0</v>
      </c>
    </row>
    <row r="37" spans="1:23" s="86" customFormat="1" ht="12.75">
      <c r="A37" s="359">
        <v>21</v>
      </c>
      <c r="B37" s="360" t="s">
        <v>484</v>
      </c>
      <c r="C37" s="316"/>
      <c r="D37" s="238">
        <v>190.0443819</v>
      </c>
      <c r="E37" s="238">
        <v>1.7750685</v>
      </c>
      <c r="F37" s="233">
        <v>0</v>
      </c>
      <c r="G37" s="233">
        <v>43.289589</v>
      </c>
      <c r="H37" s="372">
        <v>18.5785167</v>
      </c>
      <c r="I37" s="233">
        <v>20.3535852</v>
      </c>
      <c r="J37" s="233">
        <f t="shared" si="15"/>
        <v>146.75479289999998</v>
      </c>
      <c r="K37" s="234">
        <f aca="true" t="shared" si="20" ref="K37:K44">E37+H37-I37</f>
        <v>0</v>
      </c>
      <c r="L37" s="233">
        <v>0</v>
      </c>
      <c r="M37" s="233">
        <v>40.0000008</v>
      </c>
      <c r="N37" s="233">
        <v>14.1318856</v>
      </c>
      <c r="O37" s="233">
        <v>14.1318856</v>
      </c>
      <c r="P37" s="233">
        <f t="shared" si="16"/>
        <v>106.75479209999997</v>
      </c>
      <c r="Q37" s="234">
        <f t="shared" si="17"/>
        <v>0</v>
      </c>
      <c r="R37" s="233">
        <v>0</v>
      </c>
      <c r="S37" s="233">
        <v>40.0000008</v>
      </c>
      <c r="T37" s="233">
        <v>9.7841495</v>
      </c>
      <c r="U37" s="233">
        <v>9.7841495</v>
      </c>
      <c r="V37" s="233">
        <f t="shared" si="18"/>
        <v>66.75479129999997</v>
      </c>
      <c r="W37" s="234">
        <f t="shared" si="19"/>
        <v>0</v>
      </c>
    </row>
    <row r="38" spans="1:23" s="368" customFormat="1" ht="12.75">
      <c r="A38" s="217">
        <v>22</v>
      </c>
      <c r="B38" s="218" t="s">
        <v>485</v>
      </c>
      <c r="C38" s="317"/>
      <c r="D38" s="238">
        <v>199.8490345</v>
      </c>
      <c r="E38" s="238">
        <v>0</v>
      </c>
      <c r="F38" s="238">
        <v>0</v>
      </c>
      <c r="G38" s="238">
        <v>20.0310198</v>
      </c>
      <c r="H38" s="372">
        <v>21.6178198</v>
      </c>
      <c r="I38" s="238">
        <v>21.6178198</v>
      </c>
      <c r="J38" s="233">
        <f t="shared" si="15"/>
        <v>179.8180147</v>
      </c>
      <c r="K38" s="234">
        <f t="shared" si="20"/>
        <v>0</v>
      </c>
      <c r="L38" s="233">
        <v>0</v>
      </c>
      <c r="M38" s="233">
        <v>40.2</v>
      </c>
      <c r="N38" s="233">
        <v>17.9202278</v>
      </c>
      <c r="O38" s="233">
        <v>17.9202278</v>
      </c>
      <c r="P38" s="233">
        <f t="shared" si="16"/>
        <v>139.6180147</v>
      </c>
      <c r="Q38" s="234">
        <f t="shared" si="17"/>
        <v>0</v>
      </c>
      <c r="R38" s="233">
        <v>0</v>
      </c>
      <c r="S38" s="233">
        <v>40.2</v>
      </c>
      <c r="T38" s="233">
        <v>13.4902993</v>
      </c>
      <c r="U38" s="233">
        <v>13.4902993</v>
      </c>
      <c r="V38" s="233">
        <f t="shared" si="18"/>
        <v>99.4180147</v>
      </c>
      <c r="W38" s="234">
        <f t="shared" si="19"/>
        <v>0</v>
      </c>
    </row>
    <row r="39" spans="1:23" s="86" customFormat="1" ht="12.75">
      <c r="A39" s="359">
        <v>29</v>
      </c>
      <c r="B39" s="221" t="s">
        <v>587</v>
      </c>
      <c r="C39" s="317"/>
      <c r="D39" s="238">
        <v>199.8095851</v>
      </c>
      <c r="E39" s="238">
        <v>0.0405022</v>
      </c>
      <c r="F39" s="233">
        <v>0</v>
      </c>
      <c r="G39" s="233">
        <v>6.7840191</v>
      </c>
      <c r="H39" s="372">
        <v>21.6516587</v>
      </c>
      <c r="I39" s="233">
        <v>21.6921609</v>
      </c>
      <c r="J39" s="233">
        <f t="shared" si="15"/>
        <v>193.025566</v>
      </c>
      <c r="K39" s="234">
        <f t="shared" si="20"/>
        <v>0</v>
      </c>
      <c r="L39" s="233">
        <v>0</v>
      </c>
      <c r="M39" s="233">
        <v>40.2</v>
      </c>
      <c r="N39" s="233">
        <v>19.2116152</v>
      </c>
      <c r="O39" s="233">
        <v>19.2116152</v>
      </c>
      <c r="P39" s="233">
        <f t="shared" si="16"/>
        <v>152.82556599999998</v>
      </c>
      <c r="Q39" s="234">
        <f t="shared" si="17"/>
        <v>0</v>
      </c>
      <c r="R39" s="233">
        <v>0</v>
      </c>
      <c r="S39" s="233">
        <v>40.2</v>
      </c>
      <c r="T39" s="233">
        <v>14.8255763</v>
      </c>
      <c r="U39" s="233">
        <v>14.8255763</v>
      </c>
      <c r="V39" s="233">
        <f t="shared" si="18"/>
        <v>112.62556599999998</v>
      </c>
      <c r="W39" s="234">
        <f t="shared" si="19"/>
        <v>0</v>
      </c>
    </row>
    <row r="40" spans="1:23" s="86" customFormat="1" ht="12.75">
      <c r="A40" s="359">
        <v>24</v>
      </c>
      <c r="B40" s="360" t="s">
        <v>487</v>
      </c>
      <c r="C40" s="317"/>
      <c r="D40" s="238">
        <v>84.4632259</v>
      </c>
      <c r="E40" s="238">
        <v>0.8633458</v>
      </c>
      <c r="F40" s="233">
        <v>0</v>
      </c>
      <c r="G40" s="233">
        <v>18.3207739</v>
      </c>
      <c r="H40" s="372">
        <v>8.6601113</v>
      </c>
      <c r="I40" s="233">
        <v>9.5234571</v>
      </c>
      <c r="J40" s="233">
        <f t="shared" si="15"/>
        <v>66.14245199999999</v>
      </c>
      <c r="K40" s="234">
        <f t="shared" si="20"/>
        <v>0</v>
      </c>
      <c r="L40" s="233">
        <v>0</v>
      </c>
      <c r="M40" s="233">
        <v>16.68</v>
      </c>
      <c r="N40" s="233">
        <v>6.7084285</v>
      </c>
      <c r="O40" s="233">
        <v>6.7084285</v>
      </c>
      <c r="P40" s="233">
        <f t="shared" si="16"/>
        <v>49.46245199999999</v>
      </c>
      <c r="Q40" s="234">
        <f t="shared" si="17"/>
        <v>0</v>
      </c>
      <c r="R40" s="233">
        <v>0</v>
      </c>
      <c r="S40" s="233">
        <v>16.68</v>
      </c>
      <c r="T40" s="233">
        <v>4.8016523</v>
      </c>
      <c r="U40" s="233">
        <v>4.8016523</v>
      </c>
      <c r="V40" s="233">
        <f t="shared" si="18"/>
        <v>32.78245199999999</v>
      </c>
      <c r="W40" s="234">
        <f t="shared" si="19"/>
        <v>0</v>
      </c>
    </row>
    <row r="41" spans="1:23" s="86" customFormat="1" ht="12.75">
      <c r="A41" s="359">
        <v>25</v>
      </c>
      <c r="B41" s="360" t="s">
        <v>488</v>
      </c>
      <c r="C41" s="225"/>
      <c r="D41" s="238">
        <v>174.4719635</v>
      </c>
      <c r="E41" s="238">
        <v>1.7833578</v>
      </c>
      <c r="F41" s="233">
        <v>0</v>
      </c>
      <c r="G41" s="233">
        <v>36.6436911</v>
      </c>
      <c r="H41" s="372">
        <v>17.9721446</v>
      </c>
      <c r="I41" s="233">
        <v>19.7555024</v>
      </c>
      <c r="J41" s="233">
        <f t="shared" si="15"/>
        <v>137.8282724</v>
      </c>
      <c r="K41" s="234">
        <f t="shared" si="20"/>
        <v>0</v>
      </c>
      <c r="L41" s="233">
        <v>0</v>
      </c>
      <c r="M41" s="233">
        <v>33.36</v>
      </c>
      <c r="N41" s="233">
        <v>14.0522635</v>
      </c>
      <c r="O41" s="233">
        <v>14.0522635</v>
      </c>
      <c r="P41" s="233">
        <f t="shared" si="16"/>
        <v>104.4682724</v>
      </c>
      <c r="Q41" s="234">
        <f t="shared" si="17"/>
        <v>0</v>
      </c>
      <c r="R41" s="233">
        <v>0</v>
      </c>
      <c r="S41" s="233">
        <v>33.36</v>
      </c>
      <c r="T41" s="233">
        <v>10.2397593</v>
      </c>
      <c r="U41" s="233">
        <v>10.2397593</v>
      </c>
      <c r="V41" s="233">
        <f t="shared" si="18"/>
        <v>71.1082724</v>
      </c>
      <c r="W41" s="234">
        <f t="shared" si="19"/>
        <v>0</v>
      </c>
    </row>
    <row r="42" spans="1:23" s="86" customFormat="1" ht="12.75">
      <c r="A42" s="359">
        <v>26</v>
      </c>
      <c r="B42" s="360" t="s">
        <v>489</v>
      </c>
      <c r="C42" s="317"/>
      <c r="D42" s="238">
        <v>77.0874987</v>
      </c>
      <c r="E42" s="238">
        <v>0.7527773</v>
      </c>
      <c r="F42" s="233">
        <v>0</v>
      </c>
      <c r="G42" s="233">
        <v>27.2633224</v>
      </c>
      <c r="H42" s="372">
        <v>7.1340746</v>
      </c>
      <c r="I42" s="233">
        <v>7.8868519</v>
      </c>
      <c r="J42" s="233">
        <f t="shared" si="15"/>
        <v>49.8241763</v>
      </c>
      <c r="K42" s="234">
        <f t="shared" si="20"/>
        <v>0</v>
      </c>
      <c r="L42" s="233">
        <v>0</v>
      </c>
      <c r="M42" s="233">
        <v>25.000002</v>
      </c>
      <c r="N42" s="233">
        <v>4.3091451</v>
      </c>
      <c r="O42" s="233">
        <v>4.3091451</v>
      </c>
      <c r="P42" s="233">
        <f t="shared" si="16"/>
        <v>24.8241743</v>
      </c>
      <c r="Q42" s="234">
        <f t="shared" si="17"/>
        <v>0</v>
      </c>
      <c r="R42" s="233">
        <v>0</v>
      </c>
      <c r="S42" s="233">
        <v>24.8241743</v>
      </c>
      <c r="T42" s="233">
        <v>1.5049245</v>
      </c>
      <c r="U42" s="233">
        <v>1.5049245</v>
      </c>
      <c r="V42" s="233">
        <f t="shared" si="18"/>
        <v>0</v>
      </c>
      <c r="W42" s="234">
        <f t="shared" si="19"/>
        <v>0</v>
      </c>
    </row>
    <row r="43" spans="1:23" s="86" customFormat="1" ht="12.75">
      <c r="A43" s="359">
        <v>30</v>
      </c>
      <c r="B43" s="221" t="s">
        <v>491</v>
      </c>
      <c r="C43" s="317"/>
      <c r="D43" s="238">
        <v>199.7819306</v>
      </c>
      <c r="E43" s="238">
        <v>1.9108757</v>
      </c>
      <c r="F43" s="233">
        <v>0</v>
      </c>
      <c r="G43" s="233">
        <v>4.6623693</v>
      </c>
      <c r="H43" s="372">
        <v>22.0537113</v>
      </c>
      <c r="I43" s="233">
        <v>23.964587</v>
      </c>
      <c r="J43" s="233">
        <f t="shared" si="15"/>
        <v>195.11956130000002</v>
      </c>
      <c r="K43" s="234">
        <f t="shared" si="20"/>
        <v>0</v>
      </c>
      <c r="L43" s="233">
        <v>0</v>
      </c>
      <c r="M43" s="233">
        <v>28.56</v>
      </c>
      <c r="N43" s="233">
        <v>20.0271967</v>
      </c>
      <c r="O43" s="233">
        <v>20.0271967</v>
      </c>
      <c r="P43" s="233">
        <f t="shared" si="16"/>
        <v>166.5595613</v>
      </c>
      <c r="Q43" s="234">
        <f t="shared" si="17"/>
        <v>0</v>
      </c>
      <c r="R43" s="233">
        <v>0</v>
      </c>
      <c r="S43" s="233">
        <v>28.56</v>
      </c>
      <c r="T43" s="233">
        <v>16.92862</v>
      </c>
      <c r="U43" s="233">
        <v>16.92862</v>
      </c>
      <c r="V43" s="233">
        <f t="shared" si="18"/>
        <v>137.9995613</v>
      </c>
      <c r="W43" s="234">
        <f t="shared" si="19"/>
        <v>0</v>
      </c>
    </row>
    <row r="44" spans="1:23" s="86" customFormat="1" ht="12.75">
      <c r="A44" s="359">
        <v>28</v>
      </c>
      <c r="B44" s="221" t="s">
        <v>490</v>
      </c>
      <c r="C44" s="224"/>
      <c r="D44" s="238">
        <v>199.957339</v>
      </c>
      <c r="E44" s="238">
        <v>0</v>
      </c>
      <c r="F44" s="233">
        <v>0</v>
      </c>
      <c r="G44" s="233">
        <v>0.9039214</v>
      </c>
      <c r="H44" s="372">
        <v>21.5912793</v>
      </c>
      <c r="I44" s="233">
        <v>21.5912793</v>
      </c>
      <c r="J44" s="233">
        <f t="shared" si="15"/>
        <v>199.0534176</v>
      </c>
      <c r="K44" s="234">
        <f t="shared" si="20"/>
        <v>0</v>
      </c>
      <c r="L44" s="233">
        <v>0</v>
      </c>
      <c r="M44" s="233">
        <v>40.08</v>
      </c>
      <c r="N44" s="233">
        <v>19.8807119</v>
      </c>
      <c r="O44" s="233">
        <v>19.8807119</v>
      </c>
      <c r="P44" s="233">
        <f t="shared" si="16"/>
        <v>158.9734176</v>
      </c>
      <c r="Q44" s="234">
        <f t="shared" si="17"/>
        <v>0</v>
      </c>
      <c r="R44" s="233">
        <v>0</v>
      </c>
      <c r="S44" s="233">
        <v>40.08</v>
      </c>
      <c r="T44" s="233">
        <v>15.5097562</v>
      </c>
      <c r="U44" s="233">
        <v>15.5097562</v>
      </c>
      <c r="V44" s="233">
        <f t="shared" si="18"/>
        <v>118.8934176</v>
      </c>
      <c r="W44" s="234">
        <f t="shared" si="19"/>
        <v>0</v>
      </c>
    </row>
    <row r="45" spans="1:23" s="86" customFormat="1" ht="12.75">
      <c r="A45" s="359"/>
      <c r="B45" s="220" t="s">
        <v>467</v>
      </c>
      <c r="C45" s="317"/>
      <c r="D45" s="239">
        <f>SUM(D34:D44)</f>
        <v>1750.6142409999998</v>
      </c>
      <c r="E45" s="239">
        <f aca="true" t="shared" si="21" ref="E45:W45">SUM(E34:E44)</f>
        <v>9.168933200000001</v>
      </c>
      <c r="F45" s="239">
        <f t="shared" si="21"/>
        <v>0</v>
      </c>
      <c r="G45" s="239">
        <f t="shared" si="21"/>
        <v>245.08277939999996</v>
      </c>
      <c r="H45" s="379">
        <f t="shared" si="21"/>
        <v>181.6493372</v>
      </c>
      <c r="I45" s="239">
        <f t="shared" si="21"/>
        <v>190.81827040000002</v>
      </c>
      <c r="J45" s="239">
        <f t="shared" si="21"/>
        <v>1505.5314616</v>
      </c>
      <c r="K45" s="239">
        <f t="shared" si="21"/>
        <v>0</v>
      </c>
      <c r="L45" s="239">
        <f t="shared" si="21"/>
        <v>0</v>
      </c>
      <c r="M45" s="239">
        <f t="shared" si="21"/>
        <v>345.4400028</v>
      </c>
      <c r="N45" s="239">
        <f t="shared" si="21"/>
        <v>149.55273589999996</v>
      </c>
      <c r="O45" s="239">
        <f t="shared" si="21"/>
        <v>149.55273589999996</v>
      </c>
      <c r="P45" s="239">
        <f t="shared" si="21"/>
        <v>1160.0914588</v>
      </c>
      <c r="Q45" s="239">
        <f t="shared" si="21"/>
        <v>0</v>
      </c>
      <c r="R45" s="239">
        <f t="shared" si="21"/>
        <v>0</v>
      </c>
      <c r="S45" s="239">
        <f t="shared" si="21"/>
        <v>345.2641751</v>
      </c>
      <c r="T45" s="239">
        <f t="shared" si="21"/>
        <v>111.42068529999999</v>
      </c>
      <c r="U45" s="239">
        <f t="shared" si="21"/>
        <v>111.42068529999999</v>
      </c>
      <c r="V45" s="239">
        <f t="shared" si="21"/>
        <v>814.8272837</v>
      </c>
      <c r="W45" s="239">
        <f t="shared" si="21"/>
        <v>0</v>
      </c>
    </row>
    <row r="46" spans="1:23" s="86" customFormat="1" ht="12.75">
      <c r="A46" s="219" t="s">
        <v>29</v>
      </c>
      <c r="B46" s="220" t="s">
        <v>492</v>
      </c>
      <c r="C46" s="317"/>
      <c r="D46" s="238"/>
      <c r="E46" s="238"/>
      <c r="F46" s="233"/>
      <c r="G46" s="233"/>
      <c r="H46" s="378"/>
      <c r="I46" s="233"/>
      <c r="J46" s="233"/>
      <c r="K46" s="234"/>
      <c r="L46" s="233"/>
      <c r="M46" s="234"/>
      <c r="N46" s="233"/>
      <c r="O46" s="233"/>
      <c r="P46" s="233"/>
      <c r="Q46" s="234"/>
      <c r="R46" s="233"/>
      <c r="S46" s="234"/>
      <c r="T46" s="233"/>
      <c r="U46" s="233"/>
      <c r="V46" s="233"/>
      <c r="W46" s="234"/>
    </row>
    <row r="47" spans="1:23" s="86" customFormat="1" ht="12.75">
      <c r="A47" s="359">
        <v>31</v>
      </c>
      <c r="B47" s="221" t="s">
        <v>493</v>
      </c>
      <c r="C47" s="317"/>
      <c r="D47" s="238">
        <v>245</v>
      </c>
      <c r="E47" s="238">
        <v>0</v>
      </c>
      <c r="F47" s="233">
        <v>0</v>
      </c>
      <c r="G47" s="233">
        <v>30</v>
      </c>
      <c r="H47" s="372">
        <v>25.1080192</v>
      </c>
      <c r="I47" s="233">
        <v>25.1080192</v>
      </c>
      <c r="J47" s="233">
        <f>D47+F47-G47</f>
        <v>215</v>
      </c>
      <c r="K47" s="234">
        <f>E47+H47-I47</f>
        <v>0</v>
      </c>
      <c r="L47" s="233">
        <v>0</v>
      </c>
      <c r="M47" s="233">
        <v>215</v>
      </c>
      <c r="N47" s="233">
        <v>8.9541</v>
      </c>
      <c r="O47" s="233">
        <v>8.9541</v>
      </c>
      <c r="P47" s="233">
        <f>J47+L47-M47</f>
        <v>0</v>
      </c>
      <c r="Q47" s="234">
        <f>K47+N47-O47</f>
        <v>0</v>
      </c>
      <c r="R47" s="233">
        <v>0</v>
      </c>
      <c r="S47" s="233">
        <v>0</v>
      </c>
      <c r="T47" s="233">
        <v>0</v>
      </c>
      <c r="U47" s="233">
        <v>0</v>
      </c>
      <c r="V47" s="233">
        <f>P47+R47-S47</f>
        <v>0</v>
      </c>
      <c r="W47" s="234">
        <f>Q47+T47-U47</f>
        <v>0</v>
      </c>
    </row>
    <row r="48" spans="1:23" s="368" customFormat="1" ht="12.75">
      <c r="A48" s="217">
        <v>33</v>
      </c>
      <c r="B48" s="222" t="s">
        <v>588</v>
      </c>
      <c r="C48" s="317"/>
      <c r="D48" s="238">
        <v>140</v>
      </c>
      <c r="E48" s="238">
        <v>1.1457123</v>
      </c>
      <c r="F48" s="238">
        <v>0</v>
      </c>
      <c r="G48" s="238">
        <v>0</v>
      </c>
      <c r="H48" s="372">
        <v>15.1481004</v>
      </c>
      <c r="I48" s="238">
        <v>16.2938127</v>
      </c>
      <c r="J48" s="233">
        <f>D48+F48-G48</f>
        <v>140</v>
      </c>
      <c r="K48" s="234">
        <f>E48+H48-I48</f>
        <v>0</v>
      </c>
      <c r="L48" s="233">
        <v>0</v>
      </c>
      <c r="M48" s="233">
        <v>24.6699338</v>
      </c>
      <c r="N48" s="233">
        <v>14.0801724</v>
      </c>
      <c r="O48" s="233">
        <v>14.0801724</v>
      </c>
      <c r="P48" s="233">
        <f>J48+L48-M48</f>
        <v>115.3300662</v>
      </c>
      <c r="Q48" s="234">
        <f>K48+N48-O48</f>
        <v>0</v>
      </c>
      <c r="R48" s="233">
        <v>0</v>
      </c>
      <c r="S48" s="233">
        <v>28.0000008</v>
      </c>
      <c r="T48" s="233">
        <v>11.1226906</v>
      </c>
      <c r="U48" s="233">
        <v>11.1226906</v>
      </c>
      <c r="V48" s="233">
        <f>P48+R48-S48</f>
        <v>87.33006540000001</v>
      </c>
      <c r="W48" s="234">
        <f>Q48+T48-U48</f>
        <v>0</v>
      </c>
    </row>
    <row r="49" spans="1:23" s="86" customFormat="1" ht="12.75">
      <c r="A49" s="359">
        <v>32</v>
      </c>
      <c r="B49" s="221" t="s">
        <v>494</v>
      </c>
      <c r="C49" s="224"/>
      <c r="D49" s="238">
        <v>277.9384287</v>
      </c>
      <c r="E49" s="238">
        <v>1.2159823</v>
      </c>
      <c r="F49" s="233">
        <v>0</v>
      </c>
      <c r="G49" s="233">
        <v>53.484401</v>
      </c>
      <c r="H49" s="372">
        <v>10.4659716</v>
      </c>
      <c r="I49" s="233">
        <v>11.3906026</v>
      </c>
      <c r="J49" s="233">
        <f>D49+F49-G49</f>
        <v>224.45402769999998</v>
      </c>
      <c r="K49" s="234">
        <f>E49+H49-I49</f>
        <v>0.29135130000000053</v>
      </c>
      <c r="L49" s="233">
        <v>0</v>
      </c>
      <c r="M49" s="233">
        <v>0</v>
      </c>
      <c r="N49" s="233">
        <v>25.8457183</v>
      </c>
      <c r="O49" s="233">
        <f>N49+K49</f>
        <v>26.137069600000004</v>
      </c>
      <c r="P49" s="233">
        <f>J49+L49-M49</f>
        <v>224.45402769999998</v>
      </c>
      <c r="Q49" s="234">
        <f>K49+N49-O49</f>
        <v>0</v>
      </c>
      <c r="R49" s="233">
        <v>0</v>
      </c>
      <c r="S49" s="233">
        <f>P49</f>
        <v>224.45402769999998</v>
      </c>
      <c r="T49" s="233">
        <v>25.9165284</v>
      </c>
      <c r="U49" s="233">
        <v>25.9165284</v>
      </c>
      <c r="V49" s="233">
        <f>P49+R49-S49</f>
        <v>0</v>
      </c>
      <c r="W49" s="234">
        <f>Q49+T49-U49</f>
        <v>0</v>
      </c>
    </row>
    <row r="50" spans="1:23" s="86" customFormat="1" ht="12.75">
      <c r="A50" s="359"/>
      <c r="B50" s="220" t="s">
        <v>467</v>
      </c>
      <c r="C50" s="317"/>
      <c r="D50" s="239">
        <f>SUM(D47:D49)</f>
        <v>662.9384287</v>
      </c>
      <c r="E50" s="239">
        <f aca="true" t="shared" si="22" ref="E50:J50">SUM(E47:E49)</f>
        <v>2.3616946</v>
      </c>
      <c r="F50" s="239">
        <f t="shared" si="22"/>
        <v>0</v>
      </c>
      <c r="G50" s="239">
        <f t="shared" si="22"/>
        <v>83.48440099999999</v>
      </c>
      <c r="H50" s="379">
        <f t="shared" si="22"/>
        <v>50.72209120000001</v>
      </c>
      <c r="I50" s="239">
        <f t="shared" si="22"/>
        <v>52.792434500000006</v>
      </c>
      <c r="J50" s="239">
        <f t="shared" si="22"/>
        <v>579.4540277</v>
      </c>
      <c r="K50" s="239">
        <f aca="true" t="shared" si="23" ref="K50:W50">SUM(K47:K49)</f>
        <v>0.29135130000000053</v>
      </c>
      <c r="L50" s="239">
        <f t="shared" si="23"/>
        <v>0</v>
      </c>
      <c r="M50" s="239">
        <f t="shared" si="23"/>
        <v>239.6699338</v>
      </c>
      <c r="N50" s="239">
        <f t="shared" si="23"/>
        <v>48.8799907</v>
      </c>
      <c r="O50" s="239">
        <f t="shared" si="23"/>
        <v>49.171342</v>
      </c>
      <c r="P50" s="239">
        <f t="shared" si="23"/>
        <v>339.7840939</v>
      </c>
      <c r="Q50" s="239">
        <f t="shared" si="23"/>
        <v>0</v>
      </c>
      <c r="R50" s="239">
        <f t="shared" si="23"/>
        <v>0</v>
      </c>
      <c r="S50" s="239">
        <f t="shared" si="23"/>
        <v>252.4540285</v>
      </c>
      <c r="T50" s="239">
        <f t="shared" si="23"/>
        <v>37.039219</v>
      </c>
      <c r="U50" s="239">
        <f t="shared" si="23"/>
        <v>37.039219</v>
      </c>
      <c r="V50" s="239">
        <f t="shared" si="23"/>
        <v>87.33006540000001</v>
      </c>
      <c r="W50" s="239">
        <f t="shared" si="23"/>
        <v>0</v>
      </c>
    </row>
    <row r="51" spans="1:23" s="86" customFormat="1" ht="12.75">
      <c r="A51" s="219" t="s">
        <v>30</v>
      </c>
      <c r="B51" s="220" t="s">
        <v>495</v>
      </c>
      <c r="C51" s="225"/>
      <c r="D51" s="233"/>
      <c r="E51" s="233"/>
      <c r="F51" s="233"/>
      <c r="G51" s="233"/>
      <c r="H51" s="378"/>
      <c r="I51" s="233"/>
      <c r="J51" s="233"/>
      <c r="K51" s="234"/>
      <c r="L51" s="233"/>
      <c r="M51" s="235"/>
      <c r="N51" s="233"/>
      <c r="O51" s="233"/>
      <c r="P51" s="233"/>
      <c r="Q51" s="234"/>
      <c r="R51" s="233"/>
      <c r="S51" s="235"/>
      <c r="T51" s="233"/>
      <c r="U51" s="233"/>
      <c r="V51" s="233"/>
      <c r="W51" s="234"/>
    </row>
    <row r="52" spans="1:23" s="86" customFormat="1" ht="12.75">
      <c r="A52" s="359">
        <v>34</v>
      </c>
      <c r="B52" s="221" t="s">
        <v>496</v>
      </c>
      <c r="C52" s="224"/>
      <c r="D52" s="233">
        <v>50</v>
      </c>
      <c r="E52" s="233">
        <v>0</v>
      </c>
      <c r="F52" s="233">
        <v>0</v>
      </c>
      <c r="G52" s="233">
        <v>0</v>
      </c>
      <c r="H52" s="372">
        <v>5.200000036986301</v>
      </c>
      <c r="I52" s="233">
        <v>5.200000036986301</v>
      </c>
      <c r="J52" s="233">
        <f>D52+F52-G52</f>
        <v>50</v>
      </c>
      <c r="K52" s="234">
        <f>E52+H52-I52</f>
        <v>0</v>
      </c>
      <c r="L52" s="233">
        <v>0</v>
      </c>
      <c r="M52" s="233">
        <v>0</v>
      </c>
      <c r="N52" s="233">
        <v>5.2</v>
      </c>
      <c r="O52" s="233">
        <v>5.2</v>
      </c>
      <c r="P52" s="233">
        <f>J52+L52-M52</f>
        <v>50</v>
      </c>
      <c r="Q52" s="234">
        <f>K52+N52-O52</f>
        <v>0</v>
      </c>
      <c r="R52" s="233">
        <v>0</v>
      </c>
      <c r="S52" s="233">
        <v>0</v>
      </c>
      <c r="T52" s="233">
        <v>5.2</v>
      </c>
      <c r="U52" s="233">
        <v>5.2</v>
      </c>
      <c r="V52" s="233">
        <f>P52+R52-S52</f>
        <v>50</v>
      </c>
      <c r="W52" s="234">
        <f>Q52+T52-U52</f>
        <v>0</v>
      </c>
    </row>
    <row r="53" spans="1:23" s="88" customFormat="1" ht="12.75">
      <c r="A53" s="359">
        <v>36</v>
      </c>
      <c r="B53" s="221" t="s">
        <v>497</v>
      </c>
      <c r="C53" s="319"/>
      <c r="D53" s="233">
        <v>36</v>
      </c>
      <c r="E53" s="233">
        <v>0</v>
      </c>
      <c r="F53" s="233">
        <v>20</v>
      </c>
      <c r="G53" s="233">
        <v>46</v>
      </c>
      <c r="H53" s="372">
        <v>2.090315</v>
      </c>
      <c r="I53" s="233">
        <v>2.090315</v>
      </c>
      <c r="J53" s="233">
        <f>D53+F53-G53</f>
        <v>10</v>
      </c>
      <c r="K53" s="234">
        <f>E53+H53-I53</f>
        <v>0</v>
      </c>
      <c r="L53" s="233">
        <v>0</v>
      </c>
      <c r="M53" s="233">
        <v>10</v>
      </c>
      <c r="N53" s="233">
        <v>0.0230137</v>
      </c>
      <c r="O53" s="233">
        <v>0.0230137</v>
      </c>
      <c r="P53" s="233">
        <f>J53+L53-M53</f>
        <v>0</v>
      </c>
      <c r="Q53" s="234">
        <f>K53+N53-O53</f>
        <v>0</v>
      </c>
      <c r="R53" s="233">
        <v>0</v>
      </c>
      <c r="S53" s="233">
        <v>0</v>
      </c>
      <c r="T53" s="233">
        <v>0</v>
      </c>
      <c r="U53" s="233">
        <v>0</v>
      </c>
      <c r="V53" s="233">
        <f>P53+R53-S53</f>
        <v>0</v>
      </c>
      <c r="W53" s="234">
        <f>Q53+T53-U53</f>
        <v>0</v>
      </c>
    </row>
    <row r="54" spans="1:23" s="88" customFormat="1" ht="12.75">
      <c r="A54" s="359">
        <v>35</v>
      </c>
      <c r="B54" s="221" t="s">
        <v>592</v>
      </c>
      <c r="C54" s="318"/>
      <c r="D54" s="233">
        <v>500</v>
      </c>
      <c r="E54" s="233">
        <v>0</v>
      </c>
      <c r="F54" s="233">
        <v>0</v>
      </c>
      <c r="G54" s="233">
        <v>41.75</v>
      </c>
      <c r="H54" s="372">
        <v>49.5443791</v>
      </c>
      <c r="I54" s="233">
        <v>49.5443791</v>
      </c>
      <c r="J54" s="233">
        <f>D54+F54-G54</f>
        <v>458.25</v>
      </c>
      <c r="K54" s="234">
        <f>E54+H54-I54</f>
        <v>0</v>
      </c>
      <c r="L54" s="233">
        <v>500</v>
      </c>
      <c r="M54" s="233">
        <v>100.2</v>
      </c>
      <c r="N54" s="233">
        <v>67.0598455</v>
      </c>
      <c r="O54" s="233">
        <v>67.0598455</v>
      </c>
      <c r="P54" s="233">
        <f>J54+L54-M54</f>
        <v>858.05</v>
      </c>
      <c r="Q54" s="234">
        <f>K54+N54-O54</f>
        <v>0</v>
      </c>
      <c r="R54" s="233">
        <v>0</v>
      </c>
      <c r="S54" s="233">
        <v>158.65</v>
      </c>
      <c r="T54" s="233">
        <v>77.9760792</v>
      </c>
      <c r="U54" s="233">
        <v>77.9760792</v>
      </c>
      <c r="V54" s="233">
        <f>P54+R54-S54</f>
        <v>699.4</v>
      </c>
      <c r="W54" s="234">
        <f>Q54+T54-U54</f>
        <v>0</v>
      </c>
    </row>
    <row r="55" spans="1:23" ht="12.75">
      <c r="A55" s="359"/>
      <c r="B55" s="220" t="s">
        <v>467</v>
      </c>
      <c r="C55" s="320"/>
      <c r="D55" s="239">
        <f>SUM(D52:D54)</f>
        <v>586</v>
      </c>
      <c r="E55" s="239">
        <f aca="true" t="shared" si="24" ref="E55:L55">SUM(E52:E54)</f>
        <v>0</v>
      </c>
      <c r="F55" s="239">
        <f t="shared" si="24"/>
        <v>20</v>
      </c>
      <c r="G55" s="239">
        <f t="shared" si="24"/>
        <v>87.75</v>
      </c>
      <c r="H55" s="379">
        <f t="shared" si="24"/>
        <v>56.8346941369863</v>
      </c>
      <c r="I55" s="239">
        <f t="shared" si="24"/>
        <v>56.8346941369863</v>
      </c>
      <c r="J55" s="239">
        <f t="shared" si="24"/>
        <v>518.25</v>
      </c>
      <c r="K55" s="239">
        <f t="shared" si="24"/>
        <v>0</v>
      </c>
      <c r="L55" s="239">
        <f t="shared" si="24"/>
        <v>500</v>
      </c>
      <c r="M55" s="239">
        <f aca="true" t="shared" si="25" ref="M55:W55">SUM(M52:M54)</f>
        <v>110.2</v>
      </c>
      <c r="N55" s="239">
        <f t="shared" si="25"/>
        <v>72.28285919999999</v>
      </c>
      <c r="O55" s="239">
        <f t="shared" si="25"/>
        <v>72.28285919999999</v>
      </c>
      <c r="P55" s="239">
        <f t="shared" si="25"/>
        <v>908.05</v>
      </c>
      <c r="Q55" s="239">
        <f t="shared" si="25"/>
        <v>0</v>
      </c>
      <c r="R55" s="239">
        <f t="shared" si="25"/>
        <v>0</v>
      </c>
      <c r="S55" s="239">
        <f t="shared" si="25"/>
        <v>158.65</v>
      </c>
      <c r="T55" s="239">
        <f t="shared" si="25"/>
        <v>83.1760792</v>
      </c>
      <c r="U55" s="239">
        <f t="shared" si="25"/>
        <v>83.1760792</v>
      </c>
      <c r="V55" s="239">
        <f t="shared" si="25"/>
        <v>749.4</v>
      </c>
      <c r="W55" s="239">
        <f t="shared" si="25"/>
        <v>0</v>
      </c>
    </row>
    <row r="56" spans="1:23" ht="12.75">
      <c r="A56" s="219" t="s">
        <v>131</v>
      </c>
      <c r="B56" s="220" t="s">
        <v>499</v>
      </c>
      <c r="C56" s="321"/>
      <c r="D56" s="237"/>
      <c r="E56" s="237"/>
      <c r="F56" s="233"/>
      <c r="G56" s="233"/>
      <c r="H56" s="378"/>
      <c r="I56" s="233"/>
      <c r="J56" s="233"/>
      <c r="K56" s="234"/>
      <c r="L56" s="233"/>
      <c r="M56" s="235"/>
      <c r="N56" s="233"/>
      <c r="O56" s="233"/>
      <c r="P56" s="233"/>
      <c r="Q56" s="235"/>
      <c r="R56" s="233"/>
      <c r="S56" s="235"/>
      <c r="T56" s="233"/>
      <c r="U56" s="233"/>
      <c r="V56" s="233"/>
      <c r="W56" s="235"/>
    </row>
    <row r="57" spans="1:23" ht="12.75">
      <c r="A57" s="359">
        <v>37</v>
      </c>
      <c r="B57" s="221" t="s">
        <v>498</v>
      </c>
      <c r="C57" s="321"/>
      <c r="D57" s="233">
        <v>0</v>
      </c>
      <c r="E57" s="233">
        <v>0</v>
      </c>
      <c r="F57" s="233">
        <v>127.5</v>
      </c>
      <c r="G57" s="233">
        <v>0</v>
      </c>
      <c r="H57" s="372">
        <v>5.3261471</v>
      </c>
      <c r="I57" s="372">
        <v>5.3261471</v>
      </c>
      <c r="J57" s="233">
        <f>D57+F57-G57</f>
        <v>127.5</v>
      </c>
      <c r="K57" s="234">
        <f>E57+H57-I57</f>
        <v>0</v>
      </c>
      <c r="L57" s="233">
        <v>0</v>
      </c>
      <c r="M57" s="233">
        <v>0</v>
      </c>
      <c r="N57" s="233">
        <v>11.20725</v>
      </c>
      <c r="O57" s="233">
        <v>11.20725</v>
      </c>
      <c r="P57" s="233">
        <f>J57+L57-M57</f>
        <v>127.5</v>
      </c>
      <c r="Q57" s="234">
        <f>K57+N57-O57</f>
        <v>0</v>
      </c>
      <c r="R57" s="233">
        <v>0</v>
      </c>
      <c r="S57" s="233">
        <v>0</v>
      </c>
      <c r="T57" s="233">
        <v>11.20725</v>
      </c>
      <c r="U57" s="233">
        <v>11.20725</v>
      </c>
      <c r="V57" s="233">
        <f>P57+R57-S57</f>
        <v>127.5</v>
      </c>
      <c r="W57" s="234">
        <f>Q57+T57-U57</f>
        <v>0</v>
      </c>
    </row>
    <row r="58" spans="1:23" ht="12.75">
      <c r="A58" s="359">
        <v>38</v>
      </c>
      <c r="B58" s="221" t="s">
        <v>589</v>
      </c>
      <c r="C58" s="320"/>
      <c r="D58" s="233">
        <v>0</v>
      </c>
      <c r="E58" s="233">
        <v>0</v>
      </c>
      <c r="F58" s="233">
        <v>136</v>
      </c>
      <c r="G58" s="233">
        <v>0</v>
      </c>
      <c r="H58" s="372">
        <v>0.2049315</v>
      </c>
      <c r="I58" s="372">
        <v>0.2049315</v>
      </c>
      <c r="J58" s="233">
        <f>D58+F58-G58</f>
        <v>136</v>
      </c>
      <c r="K58" s="234">
        <f>E58+H58-I58</f>
        <v>0</v>
      </c>
      <c r="L58" s="233">
        <v>0</v>
      </c>
      <c r="M58" s="233">
        <v>0</v>
      </c>
      <c r="N58" s="233">
        <v>14.9599995</v>
      </c>
      <c r="O58" s="233">
        <v>14.9599995</v>
      </c>
      <c r="P58" s="233">
        <f>J58+L58-M58</f>
        <v>136</v>
      </c>
      <c r="Q58" s="234">
        <f>K58+N58-O58</f>
        <v>0</v>
      </c>
      <c r="R58" s="233">
        <v>0</v>
      </c>
      <c r="S58" s="233">
        <v>2.27</v>
      </c>
      <c r="T58" s="233">
        <v>15.0009858</v>
      </c>
      <c r="U58" s="233">
        <v>15.0009858</v>
      </c>
      <c r="V58" s="233">
        <f>P58+R58-S58</f>
        <v>133.73</v>
      </c>
      <c r="W58" s="234">
        <f>Q58+T58-U58</f>
        <v>0</v>
      </c>
    </row>
    <row r="59" spans="1:23" s="88" customFormat="1" ht="12.75">
      <c r="A59" s="359">
        <v>39</v>
      </c>
      <c r="B59" s="221" t="s">
        <v>590</v>
      </c>
      <c r="C59" s="319"/>
      <c r="D59" s="233">
        <v>0</v>
      </c>
      <c r="E59" s="233">
        <v>0</v>
      </c>
      <c r="F59" s="233">
        <v>100</v>
      </c>
      <c r="G59" s="233">
        <v>0</v>
      </c>
      <c r="H59" s="372">
        <v>0.1506849</v>
      </c>
      <c r="I59" s="372">
        <v>0.1506849</v>
      </c>
      <c r="J59" s="233">
        <f>D59+F59-G59</f>
        <v>100</v>
      </c>
      <c r="K59" s="234">
        <f>E59+H59-I59</f>
        <v>0</v>
      </c>
      <c r="L59" s="233">
        <v>0</v>
      </c>
      <c r="M59" s="233">
        <v>0</v>
      </c>
      <c r="N59" s="233">
        <v>11.0000002</v>
      </c>
      <c r="O59" s="233">
        <v>11.0000002</v>
      </c>
      <c r="P59" s="233">
        <f>J59+L59-M59</f>
        <v>100</v>
      </c>
      <c r="Q59" s="234">
        <f>K59+N59-O59</f>
        <v>0</v>
      </c>
      <c r="R59" s="233">
        <v>0</v>
      </c>
      <c r="S59" s="233">
        <v>1.67</v>
      </c>
      <c r="T59" s="233">
        <v>11.0301372</v>
      </c>
      <c r="U59" s="233">
        <v>11.0301372</v>
      </c>
      <c r="V59" s="233">
        <f>P59+R59-S59</f>
        <v>98.33</v>
      </c>
      <c r="W59" s="234">
        <f>Q59+T59-U59</f>
        <v>0</v>
      </c>
    </row>
    <row r="60" spans="1:23" ht="12.75">
      <c r="A60" s="359"/>
      <c r="B60" s="220" t="s">
        <v>467</v>
      </c>
      <c r="C60" s="320"/>
      <c r="D60" s="239">
        <f>SUM(D57:D59)</f>
        <v>0</v>
      </c>
      <c r="E60" s="239">
        <f aca="true" t="shared" si="26" ref="E60:W60">SUM(E57:E59)</f>
        <v>0</v>
      </c>
      <c r="F60" s="239">
        <f t="shared" si="26"/>
        <v>363.5</v>
      </c>
      <c r="G60" s="239">
        <f t="shared" si="26"/>
        <v>0</v>
      </c>
      <c r="H60" s="239">
        <f t="shared" si="26"/>
        <v>5.6817635</v>
      </c>
      <c r="I60" s="239">
        <f t="shared" si="26"/>
        <v>5.6817635</v>
      </c>
      <c r="J60" s="239">
        <f t="shared" si="26"/>
        <v>363.5</v>
      </c>
      <c r="K60" s="239">
        <f t="shared" si="26"/>
        <v>0</v>
      </c>
      <c r="L60" s="239">
        <f t="shared" si="26"/>
        <v>0</v>
      </c>
      <c r="M60" s="239">
        <f t="shared" si="26"/>
        <v>0</v>
      </c>
      <c r="N60" s="239">
        <f t="shared" si="26"/>
        <v>37.1672497</v>
      </c>
      <c r="O60" s="239">
        <f t="shared" si="26"/>
        <v>37.1672497</v>
      </c>
      <c r="P60" s="239">
        <f t="shared" si="26"/>
        <v>363.5</v>
      </c>
      <c r="Q60" s="239">
        <f t="shared" si="26"/>
        <v>0</v>
      </c>
      <c r="R60" s="239">
        <f t="shared" si="26"/>
        <v>0</v>
      </c>
      <c r="S60" s="239">
        <f t="shared" si="26"/>
        <v>3.94</v>
      </c>
      <c r="T60" s="239">
        <f t="shared" si="26"/>
        <v>37.238373</v>
      </c>
      <c r="U60" s="239">
        <f t="shared" si="26"/>
        <v>37.238373</v>
      </c>
      <c r="V60" s="239">
        <f t="shared" si="26"/>
        <v>359.56</v>
      </c>
      <c r="W60" s="239">
        <f t="shared" si="26"/>
        <v>0</v>
      </c>
    </row>
    <row r="61" spans="1:24" s="88" customFormat="1" ht="12.75">
      <c r="A61" s="219"/>
      <c r="B61" s="373" t="s">
        <v>591</v>
      </c>
      <c r="C61" s="319"/>
      <c r="D61" s="236">
        <f aca="true" t="shared" si="27" ref="D61:W61">D60+D55+D50+D45+D32+D19+D16</f>
        <v>4798.390564699999</v>
      </c>
      <c r="E61" s="236">
        <f t="shared" si="27"/>
        <v>368.1218528438356</v>
      </c>
      <c r="F61" s="236">
        <f t="shared" si="27"/>
        <v>483.5</v>
      </c>
      <c r="G61" s="236">
        <f t="shared" si="27"/>
        <v>1006.5662829</v>
      </c>
      <c r="H61" s="379">
        <f t="shared" si="27"/>
        <v>466.60258843698625</v>
      </c>
      <c r="I61" s="236">
        <f t="shared" si="27"/>
        <v>382.66832753698634</v>
      </c>
      <c r="J61" s="236">
        <f t="shared" si="27"/>
        <v>4275.3242818</v>
      </c>
      <c r="K61" s="236">
        <f t="shared" si="27"/>
        <v>452.05611374383557</v>
      </c>
      <c r="L61" s="236">
        <f t="shared" si="27"/>
        <v>500</v>
      </c>
      <c r="M61" s="236">
        <f t="shared" si="27"/>
        <v>894.8293943</v>
      </c>
      <c r="N61" s="236">
        <f t="shared" si="27"/>
        <v>436.84180719999995</v>
      </c>
      <c r="O61" s="236">
        <f t="shared" si="27"/>
        <v>334.7588508999999</v>
      </c>
      <c r="P61" s="236">
        <f t="shared" si="27"/>
        <v>3880.4948875</v>
      </c>
      <c r="Q61" s="236">
        <f t="shared" si="27"/>
        <v>554.1390700438357</v>
      </c>
      <c r="R61" s="236">
        <f t="shared" si="27"/>
        <v>0</v>
      </c>
      <c r="S61" s="236">
        <f t="shared" si="27"/>
        <v>882.062214</v>
      </c>
      <c r="T61" s="236">
        <f t="shared" si="27"/>
        <v>386.34040654212055</v>
      </c>
      <c r="U61" s="236">
        <f t="shared" si="27"/>
        <v>386.34040654212055</v>
      </c>
      <c r="V61" s="236">
        <f t="shared" si="27"/>
        <v>2998.4326735</v>
      </c>
      <c r="W61" s="236">
        <f t="shared" si="27"/>
        <v>554.1390700438357</v>
      </c>
      <c r="X61" s="382"/>
    </row>
    <row r="62" spans="1:23" s="88" customFormat="1" ht="16.5" customHeight="1">
      <c r="A62" s="219"/>
      <c r="B62" s="218" t="s">
        <v>596</v>
      </c>
      <c r="C62" s="376"/>
      <c r="D62" s="365">
        <v>0</v>
      </c>
      <c r="E62" s="365">
        <v>0</v>
      </c>
      <c r="F62" s="365">
        <v>0</v>
      </c>
      <c r="G62" s="365">
        <v>0</v>
      </c>
      <c r="H62" s="366">
        <f>530.0485193-H61-H63</f>
        <v>17.1543293630137</v>
      </c>
      <c r="I62" s="366">
        <f>397.79-I61</f>
        <v>15.121672463013681</v>
      </c>
      <c r="J62" s="377">
        <v>0</v>
      </c>
      <c r="K62" s="377">
        <v>0</v>
      </c>
      <c r="L62" s="377">
        <v>0</v>
      </c>
      <c r="M62" s="377">
        <v>0</v>
      </c>
      <c r="N62" s="377">
        <f>J67*0.005</f>
        <v>9.925896786500001</v>
      </c>
      <c r="O62" s="377">
        <f>N62</f>
        <v>9.925896786500001</v>
      </c>
      <c r="P62" s="377">
        <v>0</v>
      </c>
      <c r="Q62" s="377">
        <v>0</v>
      </c>
      <c r="R62" s="377">
        <v>0</v>
      </c>
      <c r="S62" s="377">
        <v>0</v>
      </c>
      <c r="T62" s="377">
        <f>P67*0.005</f>
        <v>7.7470431405</v>
      </c>
      <c r="U62" s="377">
        <f>T62</f>
        <v>7.7470431405</v>
      </c>
      <c r="V62" s="233">
        <f>P62+R62-S62</f>
        <v>0</v>
      </c>
      <c r="W62" s="234">
        <f>Q62+T62-U62</f>
        <v>0</v>
      </c>
    </row>
    <row r="63" spans="1:23" s="88" customFormat="1" ht="16.5" customHeight="1">
      <c r="A63" s="219"/>
      <c r="B63" s="218" t="s">
        <v>597</v>
      </c>
      <c r="C63" s="376"/>
      <c r="D63" s="365">
        <v>0</v>
      </c>
      <c r="E63" s="365">
        <v>0</v>
      </c>
      <c r="F63" s="365">
        <v>0</v>
      </c>
      <c r="G63" s="365">
        <v>0</v>
      </c>
      <c r="H63" s="366">
        <v>46.2916015</v>
      </c>
      <c r="I63" s="377">
        <v>0</v>
      </c>
      <c r="J63" s="377">
        <v>0</v>
      </c>
      <c r="K63" s="377">
        <v>0</v>
      </c>
      <c r="L63" s="377">
        <v>0</v>
      </c>
      <c r="M63" s="377">
        <v>0</v>
      </c>
      <c r="N63" s="377">
        <v>0</v>
      </c>
      <c r="O63" s="377">
        <v>0</v>
      </c>
      <c r="P63" s="377">
        <v>0</v>
      </c>
      <c r="Q63" s="377">
        <v>0</v>
      </c>
      <c r="R63" s="377">
        <v>0</v>
      </c>
      <c r="S63" s="377">
        <v>0</v>
      </c>
      <c r="T63" s="377">
        <v>0</v>
      </c>
      <c r="U63" s="377">
        <v>0</v>
      </c>
      <c r="V63" s="233">
        <f>P63+R63-S63</f>
        <v>0</v>
      </c>
      <c r="W63" s="234">
        <f>Q63+T63-U63</f>
        <v>0</v>
      </c>
    </row>
    <row r="64" spans="1:23" s="88" customFormat="1" ht="16.5" customHeight="1">
      <c r="A64" s="219"/>
      <c r="B64" s="218" t="s">
        <v>614</v>
      </c>
      <c r="C64" s="384">
        <v>0.08</v>
      </c>
      <c r="D64" s="365">
        <v>0</v>
      </c>
      <c r="E64" s="365">
        <v>0</v>
      </c>
      <c r="F64" s="365">
        <v>0</v>
      </c>
      <c r="G64" s="365">
        <v>0</v>
      </c>
      <c r="H64" s="365">
        <v>0</v>
      </c>
      <c r="I64" s="365">
        <v>0</v>
      </c>
      <c r="J64" s="365">
        <v>0</v>
      </c>
      <c r="K64" s="365">
        <v>0</v>
      </c>
      <c r="L64" s="365">
        <v>619</v>
      </c>
      <c r="M64" s="365">
        <v>0</v>
      </c>
      <c r="N64" s="377">
        <v>0</v>
      </c>
      <c r="O64" s="377">
        <v>0</v>
      </c>
      <c r="P64" s="233">
        <f>J64+L64-M64</f>
        <v>619</v>
      </c>
      <c r="Q64" s="234">
        <f>K64+N64-O64</f>
        <v>0</v>
      </c>
      <c r="R64" s="377">
        <v>0</v>
      </c>
      <c r="S64" s="377">
        <v>0</v>
      </c>
      <c r="T64" s="377">
        <f>619*0.08*2</f>
        <v>99.04</v>
      </c>
      <c r="U64" s="377">
        <f>619*0.08*2</f>
        <v>99.04</v>
      </c>
      <c r="V64" s="233">
        <f>P64+R64-S64</f>
        <v>619</v>
      </c>
      <c r="W64" s="234">
        <f>Q64+T64-U64</f>
        <v>0</v>
      </c>
    </row>
    <row r="65" spans="1:23" s="88" customFormat="1" ht="16.5" customHeight="1">
      <c r="A65" s="219"/>
      <c r="B65" s="220" t="s">
        <v>598</v>
      </c>
      <c r="C65" s="377">
        <f>C61+C62+C63</f>
        <v>0</v>
      </c>
      <c r="D65" s="377">
        <f>D61+D62+D63+D64</f>
        <v>4798.390564699999</v>
      </c>
      <c r="E65" s="377">
        <f aca="true" t="shared" si="28" ref="E65:W65">E61+E62+E63+E64</f>
        <v>368.1218528438356</v>
      </c>
      <c r="F65" s="377">
        <f t="shared" si="28"/>
        <v>483.5</v>
      </c>
      <c r="G65" s="377">
        <f t="shared" si="28"/>
        <v>1006.5662829</v>
      </c>
      <c r="H65" s="377">
        <f t="shared" si="28"/>
        <v>530.0485193</v>
      </c>
      <c r="I65" s="377">
        <f t="shared" si="28"/>
        <v>397.79</v>
      </c>
      <c r="J65" s="377">
        <f t="shared" si="28"/>
        <v>4275.3242818</v>
      </c>
      <c r="K65" s="377">
        <f t="shared" si="28"/>
        <v>452.05611374383557</v>
      </c>
      <c r="L65" s="377">
        <f t="shared" si="28"/>
        <v>1119</v>
      </c>
      <c r="M65" s="377">
        <f t="shared" si="28"/>
        <v>894.8293943</v>
      </c>
      <c r="N65" s="377">
        <f t="shared" si="28"/>
        <v>446.76770398649995</v>
      </c>
      <c r="O65" s="377">
        <f t="shared" si="28"/>
        <v>344.6847476864999</v>
      </c>
      <c r="P65" s="377">
        <f t="shared" si="28"/>
        <v>4499.4948875</v>
      </c>
      <c r="Q65" s="377">
        <f t="shared" si="28"/>
        <v>554.1390700438357</v>
      </c>
      <c r="R65" s="377">
        <f t="shared" si="28"/>
        <v>0</v>
      </c>
      <c r="S65" s="377">
        <f t="shared" si="28"/>
        <v>882.062214</v>
      </c>
      <c r="T65" s="377">
        <f t="shared" si="28"/>
        <v>493.1274496826206</v>
      </c>
      <c r="U65" s="377">
        <f t="shared" si="28"/>
        <v>493.1274496826206</v>
      </c>
      <c r="V65" s="377">
        <f t="shared" si="28"/>
        <v>3617.4326735</v>
      </c>
      <c r="W65" s="377">
        <f t="shared" si="28"/>
        <v>554.1390700438357</v>
      </c>
    </row>
    <row r="66" spans="1:23" s="88" customFormat="1" ht="12.75">
      <c r="A66" s="374"/>
      <c r="B66" s="375"/>
      <c r="C66" s="376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</row>
    <row r="67" spans="1:23" ht="12.75">
      <c r="A67" s="361"/>
      <c r="B67" s="362" t="s">
        <v>502</v>
      </c>
      <c r="C67" s="363"/>
      <c r="D67" s="364">
        <f>D15+D29+D27+D28+D35+D36+D37+D38+D39+D40+D41+D42+D43+D44+D52+D57+D58+D59</f>
        <v>2051.3286931</v>
      </c>
      <c r="E67" s="365"/>
      <c r="F67" s="365"/>
      <c r="G67" s="365"/>
      <c r="H67" s="365"/>
      <c r="I67" s="365"/>
      <c r="J67" s="364">
        <f>J15+J29+J27+J28+J35+J36+J37+J38+J39+J40+J41+J42+J43+J44+J52+J57+J58+J59</f>
        <v>1985.1793573</v>
      </c>
      <c r="K67" s="367">
        <f>E67+H67-I67</f>
        <v>0</v>
      </c>
      <c r="L67" s="365"/>
      <c r="M67" s="365"/>
      <c r="N67" s="365"/>
      <c r="O67" s="365"/>
      <c r="P67" s="364">
        <f>P15+P29+P27+P28+P35+P36+P37+P38+P39+P40+P41+P42+P43+P44+P52+P57+P58+P59</f>
        <v>1549.4086281</v>
      </c>
      <c r="Q67" s="365"/>
      <c r="R67" s="365"/>
      <c r="S67" s="365"/>
      <c r="T67" s="365"/>
      <c r="U67" s="365"/>
      <c r="V67" s="364">
        <f>V15+V29+V27+V28+V35+V36+V37+V38+V39+V40+V41+V42+V43+V44+V52+V57+V58+V59</f>
        <v>1210.1644529999999</v>
      </c>
      <c r="W67" s="365">
        <f>W15+W29+W27+W28+W35+W36+W37+W38+W39+W40+W41+W42+W43+W44+W52+W57+W58+W59</f>
        <v>0</v>
      </c>
    </row>
    <row r="68" spans="1:23" ht="12.75">
      <c r="A68" s="87"/>
      <c r="B68" s="223"/>
      <c r="C68" s="320"/>
      <c r="D68" s="240"/>
      <c r="E68" s="240"/>
      <c r="F68" s="237"/>
      <c r="G68" s="237"/>
      <c r="H68" s="237"/>
      <c r="I68" s="237"/>
      <c r="J68" s="233">
        <f>D68+F68-G68</f>
        <v>0</v>
      </c>
      <c r="K68" s="234">
        <f>E68+H68-I68</f>
        <v>0</v>
      </c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</row>
    <row r="69" spans="1:23" ht="12.75">
      <c r="A69" s="87"/>
      <c r="B69" s="223" t="s">
        <v>503</v>
      </c>
      <c r="C69" s="320"/>
      <c r="D69" s="240">
        <f>D13+D14+D15+D18+D21+D22+D23+D24+D25+D26+D27+D28+D29+D30+D31+D34+D35+D36+D37+D38+D39+D40+D41+D42+D43+D44+D47+D49+D53+D59+D58</f>
        <v>3091.6886513</v>
      </c>
      <c r="E69" s="240">
        <f>E13+E14+E15+E18+E21+E22+E23+E24+E25+E26+E27+E28+E29+E30+E31+E34+E35+E36+E37+E38+E39+E40+E41+E42+E43+E44+E47+E49+E53+E59+E58</f>
        <v>14.030936100000002</v>
      </c>
      <c r="F69" s="240"/>
      <c r="G69" s="240"/>
      <c r="H69" s="240"/>
      <c r="I69" s="240"/>
      <c r="J69" s="240">
        <f>J13+J14+J15+J18+J21+J22+J23+J24+J25+J26+J27+J28+J29+J30+J31+J34+J35+J36+J37+J38+J39+J40+J41+J42+J43+J44+J47+J49+J53+J59+J58</f>
        <v>2518.2206684000002</v>
      </c>
      <c r="K69" s="240">
        <f>K13+K14+K15+K18+K21+K22+K23+K24+K25+K26+K27+K28+K29+K30+K31+K34+K35+K36+K37+K38+K39+K40+K41+K42+K43+K44+K47+K49+K53+K59+K58</f>
        <v>0.29135130000000053</v>
      </c>
      <c r="L69" s="240"/>
      <c r="M69" s="240"/>
      <c r="N69" s="240"/>
      <c r="O69" s="240"/>
      <c r="P69" s="240">
        <f>P13+P14+P15+P18+P21+P22+P23+P24+P25+P26+P27+P28+P29+P30+P31+P34+P35+P36+P37+P38+P39+P40+P41+P42+P43+P44+P47+P49+P53+P59+P58</f>
        <v>1748.2612079</v>
      </c>
      <c r="Q69" s="240">
        <f>Q13+Q14+Q15+Q18+Q21+Q22+Q23+Q24+Q25+Q26+Q27+Q28+Q29+Q30+Q31+Q34+Q35+Q36+Q37+Q38+Q39+Q40+Q41+Q42+Q43+Q44+Q47+Q49+Q53+Q59+Q58</f>
        <v>0</v>
      </c>
      <c r="R69" s="240"/>
      <c r="S69" s="240"/>
      <c r="T69" s="240"/>
      <c r="U69" s="240"/>
      <c r="V69" s="240">
        <f>V13+V14+V15+V18+V21+V22+V23+V24+V25+V26+V27+V28+V29+V30+V31+V34+V35+V36+V37+V38+V39+V40+V41+V42+V43+V44+V47+V49+V53+V59+V58</f>
        <v>1052.8489947</v>
      </c>
      <c r="W69" s="240">
        <f>W13+W14+W15+W18+W21+W22+W23+W24+W25+W26+W27+W28+W29+W30+W31+W34+W35+W36+W37+W38+W39+W40+W41+W42+W43+W44+W47+W49+W53+W59+W58</f>
        <v>0</v>
      </c>
    </row>
    <row r="70" spans="1:23" ht="12.75">
      <c r="A70" s="87"/>
      <c r="B70" s="223" t="s">
        <v>504</v>
      </c>
      <c r="C70" s="320"/>
      <c r="D70" s="240">
        <f>D65-D69</f>
        <v>1706.7019133999993</v>
      </c>
      <c r="E70" s="240">
        <f>E65-E69</f>
        <v>354.0909167438356</v>
      </c>
      <c r="F70" s="240"/>
      <c r="G70" s="240"/>
      <c r="H70" s="240"/>
      <c r="I70" s="240"/>
      <c r="J70" s="240">
        <f>J65-J69</f>
        <v>1757.1036133999996</v>
      </c>
      <c r="K70" s="240">
        <f>K65-K69</f>
        <v>451.7647624438356</v>
      </c>
      <c r="L70" s="240"/>
      <c r="M70" s="240"/>
      <c r="N70" s="240"/>
      <c r="O70" s="240"/>
      <c r="P70" s="240">
        <f>P65-P69</f>
        <v>2751.2336796</v>
      </c>
      <c r="Q70" s="240">
        <f>Q65-Q69</f>
        <v>554.1390700438357</v>
      </c>
      <c r="R70" s="240"/>
      <c r="S70" s="240"/>
      <c r="T70" s="240"/>
      <c r="U70" s="240"/>
      <c r="V70" s="240">
        <f>V65-V69</f>
        <v>2564.5836787999997</v>
      </c>
      <c r="W70" s="240">
        <f>W65-W69</f>
        <v>554.1390700438357</v>
      </c>
    </row>
    <row r="71" spans="1:23" ht="12.75">
      <c r="A71" s="87"/>
      <c r="B71" s="226" t="s">
        <v>40</v>
      </c>
      <c r="C71" s="320"/>
      <c r="D71" s="241">
        <f>SUM(D69:D70)</f>
        <v>4798.390564699999</v>
      </c>
      <c r="E71" s="241">
        <f aca="true" t="shared" si="29" ref="E71:W71">SUM(E69:E70)</f>
        <v>368.1218528438356</v>
      </c>
      <c r="F71" s="242">
        <f t="shared" si="29"/>
        <v>0</v>
      </c>
      <c r="G71" s="242">
        <f t="shared" si="29"/>
        <v>0</v>
      </c>
      <c r="H71" s="242">
        <f t="shared" si="29"/>
        <v>0</v>
      </c>
      <c r="I71" s="242">
        <f t="shared" si="29"/>
        <v>0</v>
      </c>
      <c r="J71" s="241">
        <f>SUM(J69:J70)</f>
        <v>4275.3242818</v>
      </c>
      <c r="K71" s="241">
        <f t="shared" si="29"/>
        <v>452.05611374383557</v>
      </c>
      <c r="L71" s="242">
        <f t="shared" si="29"/>
        <v>0</v>
      </c>
      <c r="M71" s="242">
        <f t="shared" si="29"/>
        <v>0</v>
      </c>
      <c r="N71" s="242">
        <f t="shared" si="29"/>
        <v>0</v>
      </c>
      <c r="O71" s="242">
        <f t="shared" si="29"/>
        <v>0</v>
      </c>
      <c r="P71" s="241">
        <f>SUM(P69:P70)</f>
        <v>4499.4948875</v>
      </c>
      <c r="Q71" s="241">
        <f t="shared" si="29"/>
        <v>554.1390700438357</v>
      </c>
      <c r="R71" s="242">
        <f t="shared" si="29"/>
        <v>0</v>
      </c>
      <c r="S71" s="242">
        <f t="shared" si="29"/>
        <v>0</v>
      </c>
      <c r="T71" s="242">
        <f t="shared" si="29"/>
        <v>0</v>
      </c>
      <c r="U71" s="242">
        <f t="shared" si="29"/>
        <v>0</v>
      </c>
      <c r="V71" s="241">
        <f>SUM(V69:V70)</f>
        <v>3617.4326734999995</v>
      </c>
      <c r="W71" s="241">
        <f t="shared" si="29"/>
        <v>554.1390700438357</v>
      </c>
    </row>
    <row r="72" spans="4:5" ht="12.75">
      <c r="D72" s="89"/>
      <c r="E72" s="89"/>
    </row>
    <row r="73" spans="4:19" ht="12.75">
      <c r="D73" s="89"/>
      <c r="E73" s="89"/>
      <c r="P73" s="380">
        <f>J65+L65-M65</f>
        <v>4499.4948875</v>
      </c>
      <c r="Q73" s="285">
        <f>K65</f>
        <v>452.05611374383557</v>
      </c>
      <c r="S73" s="285"/>
    </row>
    <row r="74" spans="4:17" ht="12.75">
      <c r="D74" s="89"/>
      <c r="E74" s="89"/>
      <c r="M74" s="90"/>
      <c r="O74" s="380"/>
      <c r="P74" s="285">
        <f>J65</f>
        <v>4275.3242818</v>
      </c>
      <c r="Q74" s="285">
        <f>N65</f>
        <v>446.76770398649995</v>
      </c>
    </row>
    <row r="75" spans="4:17" ht="43.5" customHeight="1">
      <c r="D75" s="89"/>
      <c r="E75" s="89"/>
      <c r="P75" s="285">
        <f>L65</f>
        <v>1119</v>
      </c>
      <c r="Q75" s="380">
        <f>Q73+Q74-O65</f>
        <v>554.1390700438357</v>
      </c>
    </row>
    <row r="76" spans="4:16" ht="15.75" customHeight="1">
      <c r="D76" s="89"/>
      <c r="E76" s="89"/>
      <c r="P76" s="380">
        <f>P74+P75-M65</f>
        <v>4499.4948875</v>
      </c>
    </row>
    <row r="77" spans="4:5" ht="17.25" customHeight="1">
      <c r="D77" s="89"/>
      <c r="E77" s="89"/>
    </row>
    <row r="78" spans="4:5" ht="17.25" customHeight="1">
      <c r="D78" s="89"/>
      <c r="E78" s="89"/>
    </row>
    <row r="79" spans="4:5" ht="17.25" customHeight="1">
      <c r="D79" s="89"/>
      <c r="E79" s="89"/>
    </row>
    <row r="80" spans="4:5" ht="17.25" customHeight="1">
      <c r="D80" s="89"/>
      <c r="E80" s="89"/>
    </row>
    <row r="81" spans="4:5" ht="21" customHeight="1">
      <c r="D81" s="89"/>
      <c r="E81" s="89"/>
    </row>
    <row r="82" spans="4:19" ht="12.75">
      <c r="D82" s="89"/>
      <c r="E82" s="89"/>
      <c r="S82" s="285"/>
    </row>
    <row r="83" spans="4:5" ht="12.75">
      <c r="D83" s="89"/>
      <c r="E83" s="89"/>
    </row>
    <row r="84" spans="4:5" ht="12.75">
      <c r="D84" s="89"/>
      <c r="E84" s="89"/>
    </row>
    <row r="85" spans="4:5" ht="12.75">
      <c r="D85" s="89"/>
      <c r="E85" s="89"/>
    </row>
    <row r="86" spans="4:5" ht="12.75">
      <c r="D86" s="89"/>
      <c r="E86" s="89"/>
    </row>
    <row r="87" spans="4:5" ht="12.75">
      <c r="D87" s="89"/>
      <c r="E87" s="89"/>
    </row>
    <row r="88" spans="4:5" ht="12.75">
      <c r="D88" s="89"/>
      <c r="E88" s="89"/>
    </row>
    <row r="89" spans="4:5" ht="12.75">
      <c r="D89" s="89"/>
      <c r="E89" s="89"/>
    </row>
    <row r="90" spans="4:5" ht="12.75">
      <c r="D90" s="89"/>
      <c r="E90" s="89"/>
    </row>
    <row r="91" spans="4:5" ht="12.75">
      <c r="D91" s="89"/>
      <c r="E91" s="89"/>
    </row>
    <row r="92" spans="4:5" ht="12.75">
      <c r="D92" s="89"/>
      <c r="E92" s="89"/>
    </row>
    <row r="93" spans="4:5" ht="12.75">
      <c r="D93" s="89"/>
      <c r="E93" s="89"/>
    </row>
    <row r="94" spans="4:5" ht="12.75">
      <c r="D94" s="89"/>
      <c r="E94" s="89"/>
    </row>
    <row r="95" spans="4:5" ht="12.75">
      <c r="D95" s="89"/>
      <c r="E95" s="89"/>
    </row>
    <row r="96" spans="4:5" ht="12.75">
      <c r="D96" s="89"/>
      <c r="E96" s="89"/>
    </row>
    <row r="97" spans="4:5" ht="12.75">
      <c r="D97" s="89"/>
      <c r="E97" s="89"/>
    </row>
  </sheetData>
  <sheetProtection/>
  <mergeCells count="20">
    <mergeCell ref="P6:Q6"/>
    <mergeCell ref="D6:E6"/>
    <mergeCell ref="A1:W1"/>
    <mergeCell ref="A2:W2"/>
    <mergeCell ref="A3:W3"/>
    <mergeCell ref="A4:W4"/>
    <mergeCell ref="R6:S6"/>
    <mergeCell ref="T6:U6"/>
    <mergeCell ref="V6:W6"/>
    <mergeCell ref="D5:K5"/>
    <mergeCell ref="R5:W5"/>
    <mergeCell ref="J6:K6"/>
    <mergeCell ref="L6:M6"/>
    <mergeCell ref="A5:A7"/>
    <mergeCell ref="B5:B7"/>
    <mergeCell ref="C5:C7"/>
    <mergeCell ref="L5:Q5"/>
    <mergeCell ref="H6:I6"/>
    <mergeCell ref="F6:G6"/>
    <mergeCell ref="N6:O6"/>
  </mergeCells>
  <printOptions horizontalCentered="1"/>
  <pageMargins left="0.1968503937007874" right="0.15748031496062992" top="0.8" bottom="0.2362204724409449" header="0.2755905511811024" footer="0.15748031496062992"/>
  <pageSetup horizontalDpi="600" verticalDpi="600" orientation="landscape" paperSize="9" scale="65" r:id="rId1"/>
  <headerFooter alignWithMargins="0">
    <oddHeader>&amp;R&amp;"Arial,Bold"&amp;14&amp;A</oddHeader>
  </headerFooter>
  <rowBreaks count="1" manualBreakCount="1">
    <brk id="45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6">
      <selection activeCell="F18" sqref="F18:F19"/>
    </sheetView>
  </sheetViews>
  <sheetFormatPr defaultColWidth="14.7109375" defaultRowHeight="12.75"/>
  <cols>
    <col min="1" max="1" width="6.421875" style="32" bestFit="1" customWidth="1"/>
    <col min="2" max="2" width="57.57421875" style="94" bestFit="1" customWidth="1"/>
    <col min="3" max="3" width="7.140625" style="32" bestFit="1" customWidth="1"/>
    <col min="4" max="4" width="17.57421875" style="94" bestFit="1" customWidth="1"/>
    <col min="5" max="5" width="14.8515625" style="94" bestFit="1" customWidth="1"/>
    <col min="6" max="6" width="16.421875" style="94" bestFit="1" customWidth="1"/>
    <col min="7" max="16384" width="14.7109375" style="94" customWidth="1"/>
  </cols>
  <sheetData>
    <row r="1" spans="1:6" s="91" customFormat="1" ht="15">
      <c r="A1" s="449" t="s">
        <v>269</v>
      </c>
      <c r="B1" s="449"/>
      <c r="C1" s="449"/>
      <c r="D1" s="449"/>
      <c r="E1" s="449"/>
      <c r="F1" s="449"/>
    </row>
    <row r="2" spans="1:7" s="91" customFormat="1" ht="15">
      <c r="A2" s="450" t="s">
        <v>150</v>
      </c>
      <c r="B2" s="450"/>
      <c r="C2" s="450"/>
      <c r="D2" s="450"/>
      <c r="E2" s="450"/>
      <c r="F2" s="450"/>
      <c r="G2" s="92"/>
    </row>
    <row r="3" spans="1:10" s="91" customFormat="1" ht="15">
      <c r="A3" s="451" t="s">
        <v>272</v>
      </c>
      <c r="B3" s="451"/>
      <c r="C3" s="451"/>
      <c r="D3" s="451"/>
      <c r="E3" s="451"/>
      <c r="F3" s="451"/>
      <c r="G3" s="93"/>
      <c r="H3" s="93"/>
      <c r="I3" s="93"/>
      <c r="J3" s="93"/>
    </row>
    <row r="4" spans="1:10" s="91" customFormat="1" ht="15">
      <c r="A4" s="452" t="s">
        <v>106</v>
      </c>
      <c r="B4" s="452"/>
      <c r="C4" s="452"/>
      <c r="D4" s="452"/>
      <c r="E4" s="452"/>
      <c r="F4" s="452"/>
      <c r="G4" s="93"/>
      <c r="H4" s="93"/>
      <c r="I4" s="93"/>
      <c r="J4" s="93"/>
    </row>
    <row r="5" spans="1:6" ht="30">
      <c r="A5" s="214" t="s">
        <v>37</v>
      </c>
      <c r="B5" s="214" t="s">
        <v>39</v>
      </c>
      <c r="C5" s="324" t="s">
        <v>156</v>
      </c>
      <c r="D5" s="214" t="s">
        <v>573</v>
      </c>
      <c r="E5" s="214" t="s">
        <v>574</v>
      </c>
      <c r="F5" s="214" t="s">
        <v>575</v>
      </c>
    </row>
    <row r="6" spans="1:6" ht="24" customHeight="1">
      <c r="A6" s="325">
        <v>1</v>
      </c>
      <c r="B6" s="326" t="s">
        <v>5</v>
      </c>
      <c r="C6" s="325" t="s">
        <v>123</v>
      </c>
      <c r="D6" s="327">
        <f>'F-4'!C7</f>
        <v>5427.1396098</v>
      </c>
      <c r="E6" s="327">
        <f>'F-4'!D7</f>
        <v>6353.163814651679</v>
      </c>
      <c r="F6" s="327">
        <f>'F-4'!E7</f>
        <v>7604.5199999999995</v>
      </c>
    </row>
    <row r="7" spans="1:8" ht="24" customHeight="1">
      <c r="A7" s="325">
        <v>2</v>
      </c>
      <c r="B7" s="326" t="s">
        <v>127</v>
      </c>
      <c r="C7" s="325" t="s">
        <v>123</v>
      </c>
      <c r="D7" s="327">
        <f>'F-4'!C25-'F-4'!C14-'F-4'!C7</f>
        <v>1545.6881899681293</v>
      </c>
      <c r="E7" s="327">
        <f>'F-4'!D25-'F-4'!D14-'F-4'!D7</f>
        <v>1352.5485888423973</v>
      </c>
      <c r="F7" s="327">
        <f>'F-4'!E25-'F-4'!E14-'F-4'!E7</f>
        <v>2439.3154429442666</v>
      </c>
      <c r="H7" s="380"/>
    </row>
    <row r="8" spans="1:7" ht="24" customHeight="1">
      <c r="A8" s="325">
        <v>3</v>
      </c>
      <c r="B8" s="326" t="s">
        <v>157</v>
      </c>
      <c r="C8" s="325" t="s">
        <v>4</v>
      </c>
      <c r="D8" s="327">
        <f>'Pool Cost'!C114</f>
        <v>21005.052030000003</v>
      </c>
      <c r="E8" s="327">
        <f>'Pool Cost'!L114</f>
        <v>24530</v>
      </c>
      <c r="F8" s="327">
        <f>'Pool Cost'!O114</f>
        <v>26156</v>
      </c>
      <c r="G8" s="95"/>
    </row>
    <row r="9" spans="1:7" ht="24" customHeight="1">
      <c r="A9" s="325">
        <v>4</v>
      </c>
      <c r="B9" s="326" t="s">
        <v>158</v>
      </c>
      <c r="C9" s="325" t="s">
        <v>4</v>
      </c>
      <c r="D9" s="327">
        <f>'Pool Cost'!C118</f>
        <v>2.843419</v>
      </c>
      <c r="E9" s="327">
        <f>'Pool Cost'!L118</f>
        <v>1</v>
      </c>
      <c r="F9" s="327">
        <f>'Pool Cost'!O118</f>
        <v>10</v>
      </c>
      <c r="G9" s="90"/>
    </row>
    <row r="10" spans="1:7" ht="24" customHeight="1">
      <c r="A10" s="325">
        <v>5</v>
      </c>
      <c r="B10" s="326" t="s">
        <v>155</v>
      </c>
      <c r="C10" s="325" t="s">
        <v>4</v>
      </c>
      <c r="D10" s="327">
        <f>'Pool Cost'!C123</f>
        <v>3377.046378</v>
      </c>
      <c r="E10" s="327">
        <f>'Pool Cost'!L123</f>
        <v>1547.172</v>
      </c>
      <c r="F10" s="327">
        <f>'Pool Cost'!O123</f>
        <v>2119.1414545454536</v>
      </c>
      <c r="G10" s="90"/>
    </row>
    <row r="11" spans="1:8" ht="24" customHeight="1">
      <c r="A11" s="325">
        <v>6</v>
      </c>
      <c r="B11" s="326" t="s">
        <v>159</v>
      </c>
      <c r="C11" s="325" t="s">
        <v>4</v>
      </c>
      <c r="D11" s="327">
        <f>D10+D9+D8</f>
        <v>24384.941827000002</v>
      </c>
      <c r="E11" s="327">
        <f>E10+E9+E8</f>
        <v>26078.172</v>
      </c>
      <c r="F11" s="327">
        <f>F10+F9+F8</f>
        <v>28285.141454545454</v>
      </c>
      <c r="G11" s="90"/>
      <c r="H11" s="90"/>
    </row>
    <row r="12" spans="1:9" ht="24" customHeight="1">
      <c r="A12" s="325">
        <v>7</v>
      </c>
      <c r="B12" s="326" t="s">
        <v>363</v>
      </c>
      <c r="C12" s="325" t="s">
        <v>4</v>
      </c>
      <c r="D12" s="327">
        <f>'Pool Cost'!C106</f>
        <v>25350.097987</v>
      </c>
      <c r="E12" s="327">
        <f>'Pool Cost'!L106</f>
        <v>27084.134749999997</v>
      </c>
      <c r="F12" s="327">
        <f>'Pool Cost'!O106</f>
        <v>29304.595999999998</v>
      </c>
      <c r="G12" s="90"/>
      <c r="H12" s="90"/>
      <c r="I12" s="90"/>
    </row>
    <row r="13" spans="1:9" ht="24" customHeight="1">
      <c r="A13" s="325">
        <v>8</v>
      </c>
      <c r="B13" s="326" t="s">
        <v>160</v>
      </c>
      <c r="C13" s="325" t="s">
        <v>4</v>
      </c>
      <c r="D13" s="327">
        <f>D12-D11</f>
        <v>965.1561599999986</v>
      </c>
      <c r="E13" s="327">
        <f>E12-E11</f>
        <v>1005.9627499999988</v>
      </c>
      <c r="F13" s="327">
        <f>F12-F11</f>
        <v>1019.4545454545441</v>
      </c>
      <c r="G13" s="90"/>
      <c r="H13" s="90"/>
      <c r="I13" s="90"/>
    </row>
    <row r="14" spans="1:7" ht="24" customHeight="1">
      <c r="A14" s="325">
        <v>9</v>
      </c>
      <c r="B14" s="326" t="s">
        <v>161</v>
      </c>
      <c r="C14" s="325" t="s">
        <v>22</v>
      </c>
      <c r="D14" s="327">
        <f>D13/D12*100</f>
        <v>3.8073074135451015</v>
      </c>
      <c r="E14" s="327">
        <f>E13/E12*100</f>
        <v>3.7142140935478802</v>
      </c>
      <c r="F14" s="327">
        <f>F13/F12*100</f>
        <v>3.478821361176739</v>
      </c>
      <c r="G14" s="90"/>
    </row>
    <row r="15" spans="1:7" ht="24" customHeight="1">
      <c r="A15" s="325"/>
      <c r="B15" s="328" t="s">
        <v>162</v>
      </c>
      <c r="C15" s="325"/>
      <c r="D15" s="327"/>
      <c r="E15" s="327"/>
      <c r="F15" s="327"/>
      <c r="G15" s="90"/>
    </row>
    <row r="16" spans="1:6" ht="24" customHeight="1">
      <c r="A16" s="325">
        <v>10</v>
      </c>
      <c r="B16" s="326" t="s">
        <v>364</v>
      </c>
      <c r="C16" s="325" t="s">
        <v>123</v>
      </c>
      <c r="D16" s="327">
        <f>D6/D12*D13</f>
        <v>206.6278887073581</v>
      </c>
      <c r="E16" s="327">
        <f>E6/E12*E13</f>
        <v>235.97010578997677</v>
      </c>
      <c r="F16" s="327">
        <f>F6/F12*F13</f>
        <v>264.5476661749573</v>
      </c>
    </row>
    <row r="17" spans="1:6" ht="24" customHeight="1">
      <c r="A17" s="325">
        <v>11</v>
      </c>
      <c r="B17" s="326" t="s">
        <v>163</v>
      </c>
      <c r="C17" s="325" t="s">
        <v>123</v>
      </c>
      <c r="D17" s="327">
        <f>D16+D7</f>
        <v>1752.3160786754875</v>
      </c>
      <c r="E17" s="327">
        <f>E16+E7</f>
        <v>1588.518694632374</v>
      </c>
      <c r="F17" s="327">
        <f>F16+F7</f>
        <v>2703.8631091192237</v>
      </c>
    </row>
    <row r="18" spans="1:6" ht="24" customHeight="1">
      <c r="A18" s="325">
        <v>12</v>
      </c>
      <c r="B18" s="326" t="s">
        <v>164</v>
      </c>
      <c r="C18" s="325" t="s">
        <v>165</v>
      </c>
      <c r="D18" s="327">
        <f>D17/D11*1000</f>
        <v>71.86058064470147</v>
      </c>
      <c r="E18" s="327">
        <f>E17/E11*1000</f>
        <v>60.91372871658236</v>
      </c>
      <c r="F18" s="327">
        <f>F17/F11*1000</f>
        <v>95.59305593236515</v>
      </c>
    </row>
    <row r="19" spans="1:6" ht="24" customHeight="1">
      <c r="A19" s="325">
        <v>13</v>
      </c>
      <c r="B19" s="326" t="s">
        <v>166</v>
      </c>
      <c r="C19" s="325" t="s">
        <v>165</v>
      </c>
      <c r="D19" s="327">
        <f>D6/D12*1000</f>
        <v>214.08752000024367</v>
      </c>
      <c r="E19" s="327">
        <f>E6/E12*1000</f>
        <v>234.57141508468086</v>
      </c>
      <c r="F19" s="327">
        <f>F6/F12*1000</f>
        <v>259.4992266742049</v>
      </c>
    </row>
    <row r="20" spans="1:6" ht="24" customHeight="1">
      <c r="A20" s="325">
        <v>14</v>
      </c>
      <c r="B20" s="326" t="s">
        <v>168</v>
      </c>
      <c r="C20" s="325" t="s">
        <v>165</v>
      </c>
      <c r="D20" s="327">
        <v>0</v>
      </c>
      <c r="E20" s="327">
        <v>0</v>
      </c>
      <c r="F20" s="327">
        <f>92/F11*1000</f>
        <v>3.252591122722333</v>
      </c>
    </row>
    <row r="21" spans="1:6" ht="24" customHeight="1">
      <c r="A21" s="325">
        <v>15</v>
      </c>
      <c r="B21" s="326" t="s">
        <v>167</v>
      </c>
      <c r="C21" s="325" t="s">
        <v>165</v>
      </c>
      <c r="D21" s="327">
        <f>D18+D19+D20</f>
        <v>285.94810064494516</v>
      </c>
      <c r="E21" s="327">
        <f>E18+E19+E20</f>
        <v>295.48514380126323</v>
      </c>
      <c r="F21" s="327">
        <f>F18+F19+F20</f>
        <v>358.3448737292924</v>
      </c>
    </row>
    <row r="22" spans="1:3" ht="12.75">
      <c r="A22" s="31"/>
      <c r="B22" s="96"/>
      <c r="C22" s="31"/>
    </row>
    <row r="23" spans="1:6" ht="12.75">
      <c r="A23" s="31"/>
      <c r="B23" s="96"/>
      <c r="C23" s="31"/>
      <c r="F23" s="385"/>
    </row>
    <row r="24" spans="1:3" ht="12.75">
      <c r="A24" s="31"/>
      <c r="B24" s="96"/>
      <c r="C24" s="31"/>
    </row>
    <row r="25" ht="12.75">
      <c r="A25" s="97"/>
    </row>
  </sheetData>
  <sheetProtection/>
  <mergeCells count="4">
    <mergeCell ref="A1:F1"/>
    <mergeCell ref="A2:F2"/>
    <mergeCell ref="A3:F3"/>
    <mergeCell ref="A4:F4"/>
  </mergeCells>
  <printOptions/>
  <pageMargins left="0.52" right="0.23" top="1" bottom="1" header="0.5" footer="0.5"/>
  <pageSetup fitToHeight="1" fitToWidth="1" horizontalDpi="600" verticalDpi="600" orientation="portrait" paperSize="9" scale="81" r:id="rId1"/>
  <headerFooter alignWithMargins="0">
    <oddFooter>&amp;L&amp;F-&amp;A&amp;CPage-&amp;P of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zoomScalePageLayoutView="0" workbookViewId="0" topLeftCell="A13">
      <selection activeCell="E20" sqref="E20:E23"/>
    </sheetView>
  </sheetViews>
  <sheetFormatPr defaultColWidth="14.7109375" defaultRowHeight="12.75"/>
  <cols>
    <col min="1" max="1" width="8.8515625" style="43" customWidth="1"/>
    <col min="2" max="2" width="66.28125" style="37" bestFit="1" customWidth="1"/>
    <col min="3" max="3" width="18.421875" style="37" customWidth="1"/>
    <col min="4" max="4" width="26.140625" style="37" bestFit="1" customWidth="1"/>
    <col min="5" max="5" width="18.421875" style="37" customWidth="1"/>
    <col min="6" max="10" width="14.7109375" style="37" customWidth="1"/>
    <col min="11" max="11" width="19.7109375" style="37" bestFit="1" customWidth="1"/>
    <col min="12" max="16384" width="14.7109375" style="37" customWidth="1"/>
  </cols>
  <sheetData>
    <row r="1" spans="1:5" s="34" customFormat="1" ht="18">
      <c r="A1" s="453" t="s">
        <v>270</v>
      </c>
      <c r="B1" s="453"/>
      <c r="C1" s="453"/>
      <c r="D1" s="453"/>
      <c r="E1" s="453"/>
    </row>
    <row r="2" spans="1:5" s="34" customFormat="1" ht="18">
      <c r="A2" s="454" t="s">
        <v>169</v>
      </c>
      <c r="B2" s="454"/>
      <c r="C2" s="454"/>
      <c r="D2" s="454"/>
      <c r="E2" s="454"/>
    </row>
    <row r="3" spans="1:5" s="34" customFormat="1" ht="18">
      <c r="A3" s="455" t="s">
        <v>273</v>
      </c>
      <c r="B3" s="455"/>
      <c r="C3" s="455"/>
      <c r="D3" s="455"/>
      <c r="E3" s="455"/>
    </row>
    <row r="4" spans="1:5" s="34" customFormat="1" ht="18">
      <c r="A4" s="456" t="s">
        <v>106</v>
      </c>
      <c r="B4" s="456"/>
      <c r="C4" s="456"/>
      <c r="D4" s="456"/>
      <c r="E4" s="456"/>
    </row>
    <row r="5" spans="1:5" s="34" customFormat="1" ht="30">
      <c r="A5" s="33" t="s">
        <v>37</v>
      </c>
      <c r="B5" s="20" t="s">
        <v>39</v>
      </c>
      <c r="C5" s="214" t="s">
        <v>573</v>
      </c>
      <c r="D5" s="214" t="s">
        <v>574</v>
      </c>
      <c r="E5" s="214" t="s">
        <v>575</v>
      </c>
    </row>
    <row r="6" spans="1:5" ht="18">
      <c r="A6" s="35" t="s">
        <v>115</v>
      </c>
      <c r="B6" s="60" t="s">
        <v>223</v>
      </c>
      <c r="C6" s="36"/>
      <c r="D6" s="36"/>
      <c r="E6" s="36"/>
    </row>
    <row r="7" spans="1:5" ht="27" customHeight="1">
      <c r="A7" s="42">
        <v>1</v>
      </c>
      <c r="B7" s="36" t="s">
        <v>170</v>
      </c>
      <c r="C7" s="38">
        <f>'F-16'!C15</f>
        <v>5427.1396098</v>
      </c>
      <c r="D7" s="38">
        <f>'F-16'!D15</f>
        <v>6353.163814651679</v>
      </c>
      <c r="E7" s="437">
        <f>'F-16'!E15</f>
        <v>7604.5199999999995</v>
      </c>
    </row>
    <row r="8" spans="1:5" ht="27" customHeight="1">
      <c r="A8" s="42">
        <v>2</v>
      </c>
      <c r="B8" s="36" t="s">
        <v>117</v>
      </c>
      <c r="C8" s="38">
        <f>'F-16'!C16</f>
        <v>4.269265068128</v>
      </c>
      <c r="D8" s="38">
        <f>'F-16'!D16</f>
        <v>5.327070020896393</v>
      </c>
      <c r="E8" s="39">
        <f>'F-16'!E16</f>
        <v>5.9686869873963815</v>
      </c>
    </row>
    <row r="9" spans="1:5" ht="27" customHeight="1">
      <c r="A9" s="42">
        <v>3</v>
      </c>
      <c r="B9" s="36" t="s">
        <v>124</v>
      </c>
      <c r="C9" s="38">
        <f>'F-16'!C17</f>
        <v>0.2346631</v>
      </c>
      <c r="D9" s="38">
        <f>'F-16'!D17</f>
        <v>0.30000000000000004</v>
      </c>
      <c r="E9" s="39">
        <f>'F-16'!E17</f>
        <v>0.30000000000000004</v>
      </c>
    </row>
    <row r="10" spans="1:5" ht="27" customHeight="1">
      <c r="A10" s="42">
        <v>4</v>
      </c>
      <c r="B10" s="36" t="s">
        <v>118</v>
      </c>
      <c r="C10" s="38">
        <f>'F-16'!C18</f>
        <v>4.3423193</v>
      </c>
      <c r="D10" s="38">
        <f>'F-16'!D18</f>
        <v>4.966167195</v>
      </c>
      <c r="E10" s="39">
        <f>'F-16'!E18</f>
        <v>5.499592274249999</v>
      </c>
    </row>
    <row r="11" spans="1:5" ht="27" customHeight="1">
      <c r="A11" s="42">
        <v>5</v>
      </c>
      <c r="B11" s="36" t="s">
        <v>18</v>
      </c>
      <c r="C11" s="38">
        <f>'F-16'!C19</f>
        <v>483.75691779999994</v>
      </c>
      <c r="D11" s="38">
        <f>'F-16'!D19</f>
        <v>446.76770398649995</v>
      </c>
      <c r="E11" s="39">
        <f>'F-16'!E19</f>
        <v>493.1274496826206</v>
      </c>
    </row>
    <row r="12" spans="1:5" ht="27" customHeight="1">
      <c r="A12" s="42">
        <v>6</v>
      </c>
      <c r="B12" s="36" t="s">
        <v>171</v>
      </c>
      <c r="C12" s="38">
        <f>'F-16'!C21</f>
        <v>46.2916015</v>
      </c>
      <c r="D12" s="38">
        <f>'F-16'!D21</f>
        <v>0</v>
      </c>
      <c r="E12" s="39">
        <f>'F-16'!E21</f>
        <v>0</v>
      </c>
    </row>
    <row r="13" spans="1:5" ht="27" customHeight="1">
      <c r="A13" s="42">
        <v>7</v>
      </c>
      <c r="B13" s="36" t="s">
        <v>77</v>
      </c>
      <c r="C13" s="38">
        <f>'F-16'!C20</f>
        <v>0.22714030000000004</v>
      </c>
      <c r="D13" s="38">
        <f>'F-16'!D20</f>
        <v>0.3582533400000001</v>
      </c>
      <c r="E13" s="39">
        <f>'F-16'!E20</f>
        <v>0.41750000000000004</v>
      </c>
    </row>
    <row r="14" spans="1:6" ht="27" customHeight="1">
      <c r="A14" s="42">
        <v>8</v>
      </c>
      <c r="B14" s="36" t="s">
        <v>23</v>
      </c>
      <c r="C14" s="38">
        <v>0</v>
      </c>
      <c r="D14" s="38">
        <v>0</v>
      </c>
      <c r="E14" s="353">
        <f>ROUND('F-15'!E8*0.16,2)</f>
        <v>92.27</v>
      </c>
      <c r="F14" s="40"/>
    </row>
    <row r="15" spans="1:6" ht="27" customHeight="1">
      <c r="A15" s="42"/>
      <c r="B15" s="41" t="s">
        <v>295</v>
      </c>
      <c r="C15" s="303">
        <f>SUM(C7:C14)</f>
        <v>5966.261516868129</v>
      </c>
      <c r="D15" s="303">
        <f>SUM(D7:D14)</f>
        <v>6810.883009194076</v>
      </c>
      <c r="E15" s="303">
        <f>SUM(E7:E14)</f>
        <v>8202.103228944266</v>
      </c>
      <c r="F15" s="40"/>
    </row>
    <row r="16" spans="1:5" ht="27" customHeight="1">
      <c r="A16" s="35" t="s">
        <v>116</v>
      </c>
      <c r="B16" s="60" t="s">
        <v>224</v>
      </c>
      <c r="C16" s="36"/>
      <c r="D16" s="36"/>
      <c r="E16" s="36"/>
    </row>
    <row r="17" spans="1:5" ht="27" customHeight="1">
      <c r="A17" s="30">
        <v>1</v>
      </c>
      <c r="B17" s="67" t="s">
        <v>292</v>
      </c>
      <c r="C17" s="38"/>
      <c r="D17" s="38"/>
      <c r="E17" s="39"/>
    </row>
    <row r="18" spans="1:5" ht="27" customHeight="1">
      <c r="A18" s="30" t="s">
        <v>229</v>
      </c>
      <c r="B18" s="68" t="s">
        <v>293</v>
      </c>
      <c r="C18" s="38">
        <f>-'F-16'!C12</f>
        <v>328.71</v>
      </c>
      <c r="D18" s="38">
        <f>-'F-16'!D12</f>
        <v>284.71</v>
      </c>
      <c r="E18" s="38">
        <f>-'F-16'!E12</f>
        <v>200.53</v>
      </c>
    </row>
    <row r="19" spans="1:5" ht="27" customHeight="1">
      <c r="A19" s="30" t="s">
        <v>230</v>
      </c>
      <c r="B19" s="68" t="s">
        <v>560</v>
      </c>
      <c r="C19" s="38">
        <f>'F-2'!G65-C18</f>
        <v>677.8562829</v>
      </c>
      <c r="D19" s="38">
        <f>'F-2'!M65-D18</f>
        <v>610.1193943000001</v>
      </c>
      <c r="E19" s="38">
        <f>'F-2'!S65-E18</f>
        <v>681.5322140000001</v>
      </c>
    </row>
    <row r="20" spans="1:5" ht="27" customHeight="1">
      <c r="A20" s="30" t="s">
        <v>231</v>
      </c>
      <c r="B20" s="68" t="s">
        <v>615</v>
      </c>
      <c r="C20" s="38">
        <v>0</v>
      </c>
      <c r="D20" s="38">
        <v>0</v>
      </c>
      <c r="E20" s="436">
        <v>956.36</v>
      </c>
    </row>
    <row r="21" spans="1:5" ht="27" customHeight="1">
      <c r="A21" s="30" t="s">
        <v>559</v>
      </c>
      <c r="B21" s="68" t="s">
        <v>558</v>
      </c>
      <c r="C21" s="38">
        <v>0</v>
      </c>
      <c r="D21" s="38">
        <v>0</v>
      </c>
      <c r="E21" s="436">
        <v>29.6</v>
      </c>
    </row>
    <row r="22" spans="1:5" ht="27" customHeight="1">
      <c r="A22" s="30" t="s">
        <v>561</v>
      </c>
      <c r="B22" s="68" t="s">
        <v>562</v>
      </c>
      <c r="C22" s="38">
        <v>0</v>
      </c>
      <c r="D22" s="38">
        <v>0</v>
      </c>
      <c r="E22" s="436">
        <v>15.16</v>
      </c>
    </row>
    <row r="23" spans="1:5" ht="27" customHeight="1">
      <c r="A23" s="30" t="s">
        <v>563</v>
      </c>
      <c r="B23" s="68" t="s">
        <v>616</v>
      </c>
      <c r="C23" s="38">
        <v>0</v>
      </c>
      <c r="D23" s="38">
        <v>0</v>
      </c>
      <c r="E23" s="436">
        <v>50.82</v>
      </c>
    </row>
    <row r="24" spans="1:5" ht="27" customHeight="1">
      <c r="A24" s="30"/>
      <c r="B24" s="41" t="s">
        <v>296</v>
      </c>
      <c r="C24" s="303">
        <f>SUM(C18:C23)</f>
        <v>1006.5662829</v>
      </c>
      <c r="D24" s="303">
        <f>SUM(D18:D23)</f>
        <v>894.8293943000001</v>
      </c>
      <c r="E24" s="303">
        <f>SUM(E18:E23)</f>
        <v>1934.002214</v>
      </c>
    </row>
    <row r="25" spans="1:12" s="46" customFormat="1" ht="27" customHeight="1">
      <c r="A25" s="44" t="s">
        <v>28</v>
      </c>
      <c r="B25" s="45" t="s">
        <v>226</v>
      </c>
      <c r="C25" s="303">
        <f>C24+C15</f>
        <v>6972.827799768129</v>
      </c>
      <c r="D25" s="303">
        <f>D24+D15</f>
        <v>7705.712403494076</v>
      </c>
      <c r="E25" s="303">
        <f>E24+E15</f>
        <v>10136.105442944267</v>
      </c>
      <c r="F25" s="40"/>
      <c r="G25" s="37"/>
      <c r="H25" s="37"/>
      <c r="I25" s="37"/>
      <c r="J25" s="37"/>
      <c r="K25" s="37"/>
      <c r="L25" s="37"/>
    </row>
    <row r="26" spans="1:6" ht="27" customHeight="1">
      <c r="A26" s="42" t="s">
        <v>27</v>
      </c>
      <c r="B26" s="36" t="s">
        <v>297</v>
      </c>
      <c r="C26" s="38">
        <f>'F-16'!C8+'F-16'!C9+'F-16'!C10+'F-16'!C11-'F-16'!C24</f>
        <v>773.8067523</v>
      </c>
      <c r="D26" s="38">
        <f>'F-16'!D8+'F-16'!D9+'F-16'!D10+'F-16'!D11-'F-16'!D24</f>
        <v>669.054</v>
      </c>
      <c r="E26" s="38">
        <f>'F-16'!E8+'F-16'!E9+'F-16'!E10+'F-16'!E11-'F-16'!E24</f>
        <v>854.3565818181816</v>
      </c>
      <c r="F26" s="438"/>
    </row>
    <row r="27" spans="1:12" s="46" customFormat="1" ht="27" customHeight="1">
      <c r="A27" s="44" t="s">
        <v>29</v>
      </c>
      <c r="B27" s="45" t="s">
        <v>298</v>
      </c>
      <c r="C27" s="303">
        <f>C25-C26</f>
        <v>6199.021047468129</v>
      </c>
      <c r="D27" s="303">
        <f>D25-D26</f>
        <v>7036.658403494076</v>
      </c>
      <c r="E27" s="303">
        <f>E25-E26</f>
        <v>9281.748861126085</v>
      </c>
      <c r="F27" s="37"/>
      <c r="G27" s="37"/>
      <c r="H27" s="37"/>
      <c r="I27" s="37"/>
      <c r="J27" s="37"/>
      <c r="K27" s="37"/>
      <c r="L27" s="37"/>
    </row>
    <row r="28" spans="3:5" ht="18">
      <c r="C28" s="40"/>
      <c r="D28" s="40"/>
      <c r="E28" s="40"/>
    </row>
    <row r="29" spans="3:5" ht="18">
      <c r="C29" s="40"/>
      <c r="D29" s="40"/>
      <c r="E29" s="40"/>
    </row>
    <row r="30" spans="3:5" ht="18">
      <c r="C30" s="40"/>
      <c r="D30" s="40"/>
      <c r="E30" s="40"/>
    </row>
    <row r="31" spans="3:5" ht="18">
      <c r="C31" s="40"/>
      <c r="D31" s="40"/>
      <c r="E31" s="323"/>
    </row>
    <row r="32" spans="3:5" ht="18">
      <c r="C32" s="40"/>
      <c r="D32" s="40"/>
      <c r="E32" s="40"/>
    </row>
    <row r="33" spans="4:5" ht="18">
      <c r="D33" s="40"/>
      <c r="E33" s="40"/>
    </row>
    <row r="34" spans="4:5" ht="18">
      <c r="D34" s="40"/>
      <c r="E34" s="40"/>
    </row>
    <row r="35" spans="4:5" ht="18">
      <c r="D35" s="40"/>
      <c r="E35" s="40"/>
    </row>
    <row r="36" spans="4:5" ht="18">
      <c r="D36" s="40"/>
      <c r="E36" s="40"/>
    </row>
    <row r="37" spans="4:5" ht="18">
      <c r="D37" s="40"/>
      <c r="E37" s="40"/>
    </row>
    <row r="38" spans="4:5" ht="18">
      <c r="D38" s="40"/>
      <c r="E38" s="40"/>
    </row>
    <row r="39" spans="4:5" ht="18">
      <c r="D39" s="40"/>
      <c r="E39" s="40"/>
    </row>
    <row r="40" spans="4:5" ht="18">
      <c r="D40" s="40"/>
      <c r="E40" s="40"/>
    </row>
    <row r="41" spans="4:5" ht="18">
      <c r="D41" s="40"/>
      <c r="E41" s="40"/>
    </row>
    <row r="42" spans="4:5" ht="18">
      <c r="D42" s="40"/>
      <c r="E42" s="40"/>
    </row>
    <row r="43" spans="4:5" ht="18">
      <c r="D43" s="40"/>
      <c r="E43" s="40"/>
    </row>
  </sheetData>
  <sheetProtection/>
  <mergeCells count="4">
    <mergeCell ref="A1:E1"/>
    <mergeCell ref="A2:E2"/>
    <mergeCell ref="A3:E3"/>
    <mergeCell ref="A4:E4"/>
  </mergeCells>
  <printOptions horizontalCentered="1"/>
  <pageMargins left="0.42" right="0.31496062992125984" top="0.67" bottom="0.4724409448818898" header="0.31496062992125984" footer="0.2755905511811024"/>
  <pageSetup horizontalDpi="600" verticalDpi="600" orientation="portrait" paperSize="9" scale="70" r:id="rId1"/>
  <headerFooter alignWithMargins="0">
    <oddFooter>&amp;L&amp;F-&amp;A&amp;CPage-&amp;P of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106" zoomScaleNormal="106" zoomScalePageLayoutView="0" workbookViewId="0" topLeftCell="A13">
      <selection activeCell="G21" sqref="G21"/>
    </sheetView>
  </sheetViews>
  <sheetFormatPr defaultColWidth="14.7109375" defaultRowHeight="12.75"/>
  <cols>
    <col min="1" max="1" width="3.57421875" style="10" bestFit="1" customWidth="1"/>
    <col min="2" max="2" width="46.140625" style="10" bestFit="1" customWidth="1"/>
    <col min="3" max="3" width="16.421875" style="10" bestFit="1" customWidth="1"/>
    <col min="4" max="4" width="15.28125" style="10" bestFit="1" customWidth="1"/>
    <col min="5" max="5" width="15.57421875" style="10" bestFit="1" customWidth="1"/>
    <col min="6" max="16384" width="14.7109375" style="10" customWidth="1"/>
  </cols>
  <sheetData>
    <row r="1" spans="1:5" s="6" customFormat="1" ht="15.75">
      <c r="A1" s="457" t="s">
        <v>274</v>
      </c>
      <c r="B1" s="457"/>
      <c r="C1" s="457"/>
      <c r="D1" s="457"/>
      <c r="E1" s="457"/>
    </row>
    <row r="2" spans="1:5" s="6" customFormat="1" ht="15.75">
      <c r="A2" s="458" t="s">
        <v>149</v>
      </c>
      <c r="B2" s="458"/>
      <c r="C2" s="458"/>
      <c r="D2" s="458"/>
      <c r="E2" s="458"/>
    </row>
    <row r="3" spans="1:8" s="6" customFormat="1" ht="15.75">
      <c r="A3" s="459" t="s">
        <v>299</v>
      </c>
      <c r="B3" s="459"/>
      <c r="C3" s="459"/>
      <c r="D3" s="459"/>
      <c r="E3" s="459"/>
      <c r="F3" s="29"/>
      <c r="G3" s="29"/>
      <c r="H3" s="29"/>
    </row>
    <row r="4" spans="1:8" s="6" customFormat="1" ht="15.75">
      <c r="A4" s="460" t="s">
        <v>106</v>
      </c>
      <c r="B4" s="460"/>
      <c r="C4" s="460"/>
      <c r="D4" s="460"/>
      <c r="E4" s="460"/>
      <c r="F4" s="29"/>
      <c r="G4" s="29"/>
      <c r="H4" s="29"/>
    </row>
    <row r="5" spans="1:5" s="19" customFormat="1" ht="28.5" customHeight="1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</row>
    <row r="6" spans="1:5" ht="29.25" customHeight="1">
      <c r="A6" s="53">
        <v>1</v>
      </c>
      <c r="B6" s="51" t="s">
        <v>182</v>
      </c>
      <c r="C6" s="21"/>
      <c r="D6" s="21"/>
      <c r="E6" s="21"/>
    </row>
    <row r="7" spans="1:5" ht="29.25" customHeight="1">
      <c r="A7" s="11"/>
      <c r="B7" s="52" t="s">
        <v>178</v>
      </c>
      <c r="C7" s="21">
        <v>2321.6830491</v>
      </c>
      <c r="D7" s="21">
        <f>C19</f>
        <v>2387.248</v>
      </c>
      <c r="E7" s="21">
        <f>D19</f>
        <v>2460.24956941276</v>
      </c>
    </row>
    <row r="8" spans="1:5" ht="29.25" customHeight="1">
      <c r="A8" s="11"/>
      <c r="B8" s="52" t="s">
        <v>63</v>
      </c>
      <c r="C8" s="21">
        <f>2704.2780861-C7</f>
        <v>382.59503700000005</v>
      </c>
      <c r="D8" s="21">
        <f>C20</f>
        <v>317.5104372999999</v>
      </c>
      <c r="E8" s="21">
        <f>D20</f>
        <v>297.2143786583332</v>
      </c>
    </row>
    <row r="9" spans="1:5" s="351" customFormat="1" ht="29.25" customHeight="1">
      <c r="A9" s="348"/>
      <c r="B9" s="349" t="s">
        <v>31</v>
      </c>
      <c r="C9" s="350">
        <f>SUM(C7:C8)</f>
        <v>2704.2780861</v>
      </c>
      <c r="D9" s="350">
        <f>SUM(D7:D8)</f>
        <v>2704.7584373</v>
      </c>
      <c r="E9" s="350">
        <f>SUM(E7:E8)</f>
        <v>2757.4639480710935</v>
      </c>
    </row>
    <row r="10" spans="1:5" ht="29.25" customHeight="1">
      <c r="A10" s="53">
        <v>2</v>
      </c>
      <c r="B10" s="51" t="s">
        <v>179</v>
      </c>
      <c r="C10" s="21"/>
      <c r="D10" s="21"/>
      <c r="E10" s="21"/>
    </row>
    <row r="11" spans="1:5" ht="29.25" customHeight="1">
      <c r="A11" s="11"/>
      <c r="B11" s="52" t="s">
        <v>178</v>
      </c>
      <c r="C11" s="21">
        <f>'F-16'!C7</f>
        <v>5580.4004481</v>
      </c>
      <c r="D11" s="21">
        <f>'F-16'!D7</f>
        <v>6456.419281053119</v>
      </c>
      <c r="E11" s="21">
        <f>'F-16'!E7</f>
        <v>6882.81420174258</v>
      </c>
    </row>
    <row r="12" spans="1:5" ht="29.25" customHeight="1">
      <c r="A12" s="11"/>
      <c r="B12" s="52" t="s">
        <v>63</v>
      </c>
      <c r="C12" s="21">
        <f>'F-16'!C8+'F-16'!C9+'F-16'!C10</f>
        <v>912.6067037</v>
      </c>
      <c r="D12" s="21">
        <f>'F-16'!D8+'F-16'!D9+'F-16'!D10</f>
        <v>669.054</v>
      </c>
      <c r="E12" s="21">
        <f>'F-16'!E8+'F-16'!E9+'F-16'!E10</f>
        <v>854.3565818181816</v>
      </c>
    </row>
    <row r="13" spans="1:5" s="351" customFormat="1" ht="29.25" customHeight="1">
      <c r="A13" s="348"/>
      <c r="B13" s="349" t="s">
        <v>31</v>
      </c>
      <c r="C13" s="350">
        <f>SUM(C11:C12)</f>
        <v>6493.0071518</v>
      </c>
      <c r="D13" s="350">
        <f>SUM(D11:D12)</f>
        <v>7125.4732810531195</v>
      </c>
      <c r="E13" s="350">
        <f>SUM(E11:E12)</f>
        <v>7737.170783560761</v>
      </c>
    </row>
    <row r="14" spans="1:5" ht="29.25" customHeight="1">
      <c r="A14" s="53">
        <v>3</v>
      </c>
      <c r="B14" s="51" t="s">
        <v>180</v>
      </c>
      <c r="C14" s="21"/>
      <c r="D14" s="21"/>
      <c r="E14" s="21"/>
    </row>
    <row r="15" spans="1:5" ht="29.25" customHeight="1">
      <c r="A15" s="11"/>
      <c r="B15" s="52" t="s">
        <v>178</v>
      </c>
      <c r="C15" s="21">
        <f>C7+C11-C19</f>
        <v>5514.8354972</v>
      </c>
      <c r="D15" s="21">
        <f>C11/12*1+D11/12*11</f>
        <v>6383.41771164036</v>
      </c>
      <c r="E15" s="21">
        <f>D11/12*1+E11/12*11</f>
        <v>6847.281291685124</v>
      </c>
    </row>
    <row r="16" spans="1:5" ht="29.25" customHeight="1">
      <c r="A16" s="11"/>
      <c r="B16" s="52" t="s">
        <v>63</v>
      </c>
      <c r="C16" s="21">
        <f>C8+C12-C20</f>
        <v>977.6913034000002</v>
      </c>
      <c r="D16" s="21">
        <f>C12/12*1+D12/12*11</f>
        <v>689.3500586416667</v>
      </c>
      <c r="E16" s="21">
        <f>D12/12*1+E12/12*11</f>
        <v>838.9146999999997</v>
      </c>
    </row>
    <row r="17" spans="1:5" ht="29.25" customHeight="1">
      <c r="A17" s="11"/>
      <c r="B17" s="349" t="s">
        <v>31</v>
      </c>
      <c r="C17" s="350">
        <f>SUM(C15:C16)</f>
        <v>6492.5268006</v>
      </c>
      <c r="D17" s="350">
        <f>SUM(D15:D16)</f>
        <v>7072.7677702820265</v>
      </c>
      <c r="E17" s="350">
        <f>SUM(E15:E16)</f>
        <v>7686.195991685124</v>
      </c>
    </row>
    <row r="18" spans="1:5" ht="29.25" customHeight="1">
      <c r="A18" s="53">
        <v>4</v>
      </c>
      <c r="B18" s="51" t="s">
        <v>183</v>
      </c>
      <c r="C18" s="21">
        <v>0</v>
      </c>
      <c r="D18" s="21">
        <v>0</v>
      </c>
      <c r="E18" s="21">
        <v>0</v>
      </c>
    </row>
    <row r="19" spans="1:5" ht="29.25" customHeight="1">
      <c r="A19" s="11"/>
      <c r="B19" s="52" t="s">
        <v>178</v>
      </c>
      <c r="C19" s="21">
        <v>2387.248</v>
      </c>
      <c r="D19" s="21">
        <f>D7+D11-D15</f>
        <v>2460.24956941276</v>
      </c>
      <c r="E19" s="21">
        <f>E7+E11-E15</f>
        <v>2495.7824794702146</v>
      </c>
    </row>
    <row r="20" spans="1:5" ht="29.25" customHeight="1">
      <c r="A20" s="11"/>
      <c r="B20" s="52" t="s">
        <v>63</v>
      </c>
      <c r="C20" s="21">
        <f>2704.7584373-C19</f>
        <v>317.5104372999999</v>
      </c>
      <c r="D20" s="21">
        <f>D8+D12-D16</f>
        <v>297.2143786583332</v>
      </c>
      <c r="E20" s="21">
        <f>E8+E12-E16</f>
        <v>312.65626047651506</v>
      </c>
    </row>
    <row r="21" spans="1:5" s="351" customFormat="1" ht="29.25" customHeight="1">
      <c r="A21" s="348"/>
      <c r="B21" s="349" t="s">
        <v>31</v>
      </c>
      <c r="C21" s="350">
        <f>SUM(C19:C20)</f>
        <v>2704.7584373</v>
      </c>
      <c r="D21" s="350">
        <f>SUM(D19:D20)</f>
        <v>2757.4639480710935</v>
      </c>
      <c r="E21" s="350">
        <f>SUM(E19:E20)</f>
        <v>2808.4387399467296</v>
      </c>
    </row>
    <row r="22" spans="1:5" s="351" customFormat="1" ht="29.25" customHeight="1">
      <c r="A22" s="348">
        <v>5</v>
      </c>
      <c r="B22" s="352" t="s">
        <v>181</v>
      </c>
      <c r="C22" s="350">
        <v>0</v>
      </c>
      <c r="D22" s="350">
        <v>0</v>
      </c>
      <c r="E22" s="350">
        <v>0</v>
      </c>
    </row>
  </sheetData>
  <sheetProtection/>
  <mergeCells count="4">
    <mergeCell ref="A1:E1"/>
    <mergeCell ref="A2:E2"/>
    <mergeCell ref="A3:E3"/>
    <mergeCell ref="A4:E4"/>
  </mergeCells>
  <printOptions/>
  <pageMargins left="0.63" right="0.2" top="0.58" bottom="1" header="0.47" footer="0.5"/>
  <pageSetup fitToHeight="1" fitToWidth="1" horizontalDpi="600" verticalDpi="600" orientation="portrait" paperSize="9" scale="99" r:id="rId1"/>
  <headerFooter alignWithMargins="0">
    <oddFooter>&amp;L&amp;F-&amp;A&amp;CPage- &amp;P of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22">
      <selection activeCell="E39" sqref="E39"/>
    </sheetView>
  </sheetViews>
  <sheetFormatPr defaultColWidth="14.7109375" defaultRowHeight="12.75"/>
  <cols>
    <col min="1" max="1" width="4.8515625" style="12" customWidth="1"/>
    <col min="2" max="2" width="43.00390625" style="12" bestFit="1" customWidth="1"/>
    <col min="3" max="3" width="15.421875" style="18" customWidth="1"/>
    <col min="4" max="4" width="14.421875" style="12" customWidth="1"/>
    <col min="5" max="5" width="15.00390625" style="12" customWidth="1"/>
    <col min="6" max="71" width="10.7109375" style="12" customWidth="1"/>
    <col min="72" max="16384" width="14.7109375" style="12" customWidth="1"/>
  </cols>
  <sheetData>
    <row r="1" spans="1:5" s="6" customFormat="1" ht="15.75">
      <c r="A1" s="457" t="s">
        <v>275</v>
      </c>
      <c r="B1" s="457"/>
      <c r="C1" s="457"/>
      <c r="D1" s="457"/>
      <c r="E1" s="457"/>
    </row>
    <row r="2" spans="1:5" s="6" customFormat="1" ht="15.75">
      <c r="A2" s="458" t="s">
        <v>149</v>
      </c>
      <c r="B2" s="458"/>
      <c r="C2" s="458"/>
      <c r="D2" s="458"/>
      <c r="E2" s="458"/>
    </row>
    <row r="3" spans="1:8" s="6" customFormat="1" ht="15.75">
      <c r="A3" s="459" t="s">
        <v>276</v>
      </c>
      <c r="B3" s="459"/>
      <c r="C3" s="459"/>
      <c r="D3" s="459"/>
      <c r="E3" s="459"/>
      <c r="F3" s="29"/>
      <c r="G3" s="29"/>
      <c r="H3" s="29"/>
    </row>
    <row r="4" spans="1:8" s="6" customFormat="1" ht="15.75">
      <c r="A4" s="460" t="s">
        <v>106</v>
      </c>
      <c r="B4" s="460"/>
      <c r="C4" s="460"/>
      <c r="D4" s="460"/>
      <c r="E4" s="460"/>
      <c r="F4" s="29"/>
      <c r="G4" s="29"/>
      <c r="H4" s="29"/>
    </row>
    <row r="5" spans="1:5" s="19" customFormat="1" ht="34.5" customHeight="1">
      <c r="A5" s="22" t="s">
        <v>37</v>
      </c>
      <c r="B5" s="22" t="s">
        <v>39</v>
      </c>
      <c r="C5" s="22" t="s">
        <v>573</v>
      </c>
      <c r="D5" s="22" t="s">
        <v>574</v>
      </c>
      <c r="E5" s="22" t="s">
        <v>575</v>
      </c>
    </row>
    <row r="6" spans="1:5" s="19" customFormat="1" ht="18.75" customHeight="1">
      <c r="A6" s="22" t="s">
        <v>115</v>
      </c>
      <c r="B6" s="49" t="s">
        <v>176</v>
      </c>
      <c r="C6" s="22"/>
      <c r="D6" s="22"/>
      <c r="E6" s="22"/>
    </row>
    <row r="7" spans="1:6" ht="18.75" customHeight="1">
      <c r="A7" s="30">
        <v>1</v>
      </c>
      <c r="B7" s="13" t="s">
        <v>173</v>
      </c>
      <c r="C7" s="329">
        <f>'F-16'!C7</f>
        <v>5580.4004481</v>
      </c>
      <c r="D7" s="329">
        <f>'F-16'!D7</f>
        <v>6456.419281053119</v>
      </c>
      <c r="E7" s="329">
        <f>'F-16'!E7</f>
        <v>6882.81420174258</v>
      </c>
      <c r="F7" s="18"/>
    </row>
    <row r="8" spans="1:5" ht="18.75" customHeight="1">
      <c r="A8" s="30">
        <v>2</v>
      </c>
      <c r="B8" s="13" t="s">
        <v>172</v>
      </c>
      <c r="C8" s="329">
        <v>0</v>
      </c>
      <c r="D8" s="329">
        <f>'F-16'!D21</f>
        <v>0</v>
      </c>
      <c r="E8" s="329">
        <f>'F-16'!E21</f>
        <v>0</v>
      </c>
    </row>
    <row r="9" spans="1:5" ht="18.75" customHeight="1">
      <c r="A9" s="50">
        <v>3</v>
      </c>
      <c r="B9" s="48" t="s">
        <v>277</v>
      </c>
      <c r="C9" s="330">
        <f>C7-C8</f>
        <v>5580.4004481</v>
      </c>
      <c r="D9" s="330">
        <f>D7-D8</f>
        <v>6456.419281053119</v>
      </c>
      <c r="E9" s="330">
        <f>E7-E8</f>
        <v>6882.81420174258</v>
      </c>
    </row>
    <row r="10" spans="1:5" ht="18.75" customHeight="1">
      <c r="A10" s="30">
        <v>4</v>
      </c>
      <c r="B10" s="13" t="s">
        <v>279</v>
      </c>
      <c r="C10" s="329"/>
      <c r="D10" s="329"/>
      <c r="E10" s="329"/>
    </row>
    <row r="11" spans="1:5" ht="18.75" customHeight="1">
      <c r="A11" s="30" t="s">
        <v>280</v>
      </c>
      <c r="B11" s="13" t="s">
        <v>174</v>
      </c>
      <c r="C11" s="329">
        <f>'F-16'!C10</f>
        <v>1.9050911</v>
      </c>
      <c r="D11" s="329">
        <f>'F-16'!D10</f>
        <v>0.67</v>
      </c>
      <c r="E11" s="329">
        <f>'F-16'!E10</f>
        <v>6.7</v>
      </c>
    </row>
    <row r="12" spans="1:6" ht="18.75" customHeight="1">
      <c r="A12" s="30" t="s">
        <v>281</v>
      </c>
      <c r="B12" s="47" t="s">
        <v>175</v>
      </c>
      <c r="C12" s="329">
        <v>0</v>
      </c>
      <c r="D12" s="329">
        <v>0</v>
      </c>
      <c r="E12" s="329">
        <v>0</v>
      </c>
      <c r="F12" s="18"/>
    </row>
    <row r="13" spans="1:5" ht="18.75" customHeight="1">
      <c r="A13" s="30" t="s">
        <v>282</v>
      </c>
      <c r="B13" s="47" t="s">
        <v>283</v>
      </c>
      <c r="C13" s="329">
        <f>'F-16'!C8</f>
        <v>664.5978841</v>
      </c>
      <c r="D13" s="329">
        <f>'F-16'!D8</f>
        <v>375.46200000000005</v>
      </c>
      <c r="E13" s="329">
        <f>'F-16'!E8</f>
        <v>847.6565818181815</v>
      </c>
    </row>
    <row r="14" spans="1:5" ht="18.75" customHeight="1">
      <c r="A14" s="30" t="s">
        <v>286</v>
      </c>
      <c r="B14" s="47" t="s">
        <v>284</v>
      </c>
      <c r="C14" s="329">
        <f>'F-16'!C9</f>
        <v>246.1037285</v>
      </c>
      <c r="D14" s="329">
        <f>'F-16'!D9</f>
        <v>292.922</v>
      </c>
      <c r="E14" s="329">
        <f>'F-16'!E9</f>
        <v>0</v>
      </c>
    </row>
    <row r="15" spans="1:5" ht="18.75" customHeight="1">
      <c r="A15" s="30" t="s">
        <v>285</v>
      </c>
      <c r="B15" s="47" t="s">
        <v>278</v>
      </c>
      <c r="C15" s="329">
        <v>0</v>
      </c>
      <c r="D15" s="329">
        <v>0</v>
      </c>
      <c r="E15" s="329">
        <v>0</v>
      </c>
    </row>
    <row r="16" spans="1:5" ht="18.75" customHeight="1">
      <c r="A16" s="30" t="s">
        <v>287</v>
      </c>
      <c r="B16" s="47" t="s">
        <v>227</v>
      </c>
      <c r="C16" s="329">
        <v>0</v>
      </c>
      <c r="D16" s="329">
        <v>0</v>
      </c>
      <c r="E16" s="329">
        <v>0</v>
      </c>
    </row>
    <row r="17" spans="1:5" ht="18.75" customHeight="1">
      <c r="A17" s="30" t="s">
        <v>288</v>
      </c>
      <c r="B17" s="47" t="s">
        <v>228</v>
      </c>
      <c r="C17" s="329">
        <f>'F-16'!C11</f>
        <v>79.5536836</v>
      </c>
      <c r="D17" s="329">
        <f>'F-16'!D11</f>
        <v>0</v>
      </c>
      <c r="E17" s="329">
        <f>'F-16'!E11</f>
        <v>0</v>
      </c>
    </row>
    <row r="18" spans="1:5" ht="18.75" customHeight="1">
      <c r="A18" s="30"/>
      <c r="B18" s="66" t="s">
        <v>289</v>
      </c>
      <c r="C18" s="330">
        <f>SUM(C10:C17)</f>
        <v>992.1603873</v>
      </c>
      <c r="D18" s="330">
        <f>SUM(D10:D17)</f>
        <v>669.0540000000001</v>
      </c>
      <c r="E18" s="330">
        <f>SUM(E10:E17)</f>
        <v>854.3565818181816</v>
      </c>
    </row>
    <row r="19" spans="1:5" s="14" customFormat="1" ht="18.75" customHeight="1">
      <c r="A19" s="30">
        <v>5</v>
      </c>
      <c r="B19" s="48" t="s">
        <v>290</v>
      </c>
      <c r="C19" s="330">
        <f>C18+C9</f>
        <v>6572.5608354000005</v>
      </c>
      <c r="D19" s="330">
        <f>D18+D9</f>
        <v>7125.4732810531195</v>
      </c>
      <c r="E19" s="330">
        <f>E18+E9</f>
        <v>7737.170783560761</v>
      </c>
    </row>
    <row r="20" spans="1:5" s="14" customFormat="1" ht="18.75" customHeight="1">
      <c r="A20" s="50" t="s">
        <v>116</v>
      </c>
      <c r="B20" s="48" t="s">
        <v>177</v>
      </c>
      <c r="C20" s="331"/>
      <c r="D20" s="332"/>
      <c r="E20" s="332"/>
    </row>
    <row r="21" spans="1:12" s="61" customFormat="1" ht="18.75" customHeight="1">
      <c r="A21" s="30">
        <v>1</v>
      </c>
      <c r="B21" s="47" t="s">
        <v>170</v>
      </c>
      <c r="C21" s="329">
        <f>'F-16'!C15</f>
        <v>5427.1396098</v>
      </c>
      <c r="D21" s="329">
        <f>'F-16'!D15</f>
        <v>6353.163814651679</v>
      </c>
      <c r="E21" s="329">
        <f>'F-16'!E15</f>
        <v>7604.5199999999995</v>
      </c>
      <c r="G21" s="62"/>
      <c r="H21" s="62"/>
      <c r="I21" s="62"/>
      <c r="K21" s="63"/>
      <c r="L21" s="64"/>
    </row>
    <row r="22" spans="1:12" s="61" customFormat="1" ht="18.75" customHeight="1">
      <c r="A22" s="30">
        <v>2</v>
      </c>
      <c r="B22" s="47" t="s">
        <v>117</v>
      </c>
      <c r="C22" s="329">
        <f>'F-16'!C16</f>
        <v>4.269265068128</v>
      </c>
      <c r="D22" s="329">
        <f>'F-16'!D16</f>
        <v>5.327070020896393</v>
      </c>
      <c r="E22" s="329">
        <f>'F-16'!E16</f>
        <v>5.9686869873963815</v>
      </c>
      <c r="G22" s="62"/>
      <c r="H22" s="62"/>
      <c r="I22" s="62"/>
      <c r="K22" s="63"/>
      <c r="L22" s="64"/>
    </row>
    <row r="23" spans="1:12" s="61" customFormat="1" ht="18.75" customHeight="1">
      <c r="A23" s="30">
        <v>3</v>
      </c>
      <c r="B23" s="47" t="s">
        <v>124</v>
      </c>
      <c r="C23" s="329">
        <f>'F-16'!C17</f>
        <v>0.2346631</v>
      </c>
      <c r="D23" s="329">
        <f>'F-16'!D17</f>
        <v>0.30000000000000004</v>
      </c>
      <c r="E23" s="329">
        <f>'F-16'!E17</f>
        <v>0.30000000000000004</v>
      </c>
      <c r="G23" s="65"/>
      <c r="H23" s="65"/>
      <c r="I23" s="65"/>
      <c r="K23" s="63"/>
      <c r="L23" s="63"/>
    </row>
    <row r="24" spans="1:5" s="61" customFormat="1" ht="18.75" customHeight="1">
      <c r="A24" s="30">
        <v>4</v>
      </c>
      <c r="B24" s="47" t="s">
        <v>118</v>
      </c>
      <c r="C24" s="329">
        <f>'F-16'!C18</f>
        <v>4.3423193</v>
      </c>
      <c r="D24" s="329">
        <f>'F-16'!D18</f>
        <v>4.966167195</v>
      </c>
      <c r="E24" s="329">
        <f>'F-16'!E18</f>
        <v>5.499592274249999</v>
      </c>
    </row>
    <row r="25" spans="1:5" s="61" customFormat="1" ht="18.75" customHeight="1">
      <c r="A25" s="30">
        <v>5</v>
      </c>
      <c r="B25" s="47" t="s">
        <v>18</v>
      </c>
      <c r="C25" s="329">
        <f>'F-16'!C19</f>
        <v>483.75691779999994</v>
      </c>
      <c r="D25" s="329">
        <f>'F-16'!D19</f>
        <v>446.76770398649995</v>
      </c>
      <c r="E25" s="329">
        <f>'F-16'!E19</f>
        <v>493.1274496826206</v>
      </c>
    </row>
    <row r="26" spans="1:5" s="61" customFormat="1" ht="18.75" customHeight="1">
      <c r="A26" s="30">
        <v>6</v>
      </c>
      <c r="B26" s="47" t="s">
        <v>171</v>
      </c>
      <c r="C26" s="329">
        <f>'F-16'!C21</f>
        <v>46.2916015</v>
      </c>
      <c r="D26" s="329">
        <f>'F-16'!D21</f>
        <v>0</v>
      </c>
      <c r="E26" s="329">
        <f>'F-16'!E21</f>
        <v>0</v>
      </c>
    </row>
    <row r="27" spans="1:5" s="61" customFormat="1" ht="18.75" customHeight="1">
      <c r="A27" s="30">
        <v>7</v>
      </c>
      <c r="B27" s="47" t="s">
        <v>77</v>
      </c>
      <c r="C27" s="329">
        <f>'F-16'!C20</f>
        <v>0.22714030000000004</v>
      </c>
      <c r="D27" s="329">
        <f>'F-16'!D20</f>
        <v>0.3582533400000001</v>
      </c>
      <c r="E27" s="329">
        <f>'F-16'!E20</f>
        <v>0.41750000000000004</v>
      </c>
    </row>
    <row r="28" spans="1:5" s="61" customFormat="1" ht="18.75" customHeight="1">
      <c r="A28" s="30">
        <v>8</v>
      </c>
      <c r="B28" s="47" t="s">
        <v>23</v>
      </c>
      <c r="C28" s="329">
        <f>'F-4'!C14</f>
        <v>0</v>
      </c>
      <c r="D28" s="329">
        <f>'F-4'!D14</f>
        <v>0</v>
      </c>
      <c r="E28" s="329">
        <f>'F-4'!E14</f>
        <v>92.27</v>
      </c>
    </row>
    <row r="29" spans="1:5" s="61" customFormat="1" ht="18.75" customHeight="1">
      <c r="A29" s="30"/>
      <c r="B29" s="48" t="s">
        <v>291</v>
      </c>
      <c r="C29" s="330">
        <f>SUM(C21:C28)</f>
        <v>5966.261516868129</v>
      </c>
      <c r="D29" s="330">
        <f>SUM(D21:D28)</f>
        <v>6810.883009194076</v>
      </c>
      <c r="E29" s="330">
        <f>SUM(E21:E28)</f>
        <v>8202.103228944266</v>
      </c>
    </row>
    <row r="30" spans="1:5" s="61" customFormat="1" ht="18.75" customHeight="1">
      <c r="A30" s="50" t="s">
        <v>28</v>
      </c>
      <c r="B30" s="48" t="s">
        <v>224</v>
      </c>
      <c r="C30" s="333"/>
      <c r="D30" s="333"/>
      <c r="E30" s="333"/>
    </row>
    <row r="31" spans="1:5" s="61" customFormat="1" ht="18.75" customHeight="1">
      <c r="A31" s="47">
        <v>1</v>
      </c>
      <c r="B31" s="47" t="s">
        <v>292</v>
      </c>
      <c r="C31" s="329">
        <f>'F-4'!C17</f>
        <v>0</v>
      </c>
      <c r="D31" s="329">
        <f>'F-4'!D17</f>
        <v>0</v>
      </c>
      <c r="E31" s="329">
        <f>'F-4'!E17</f>
        <v>0</v>
      </c>
    </row>
    <row r="32" spans="1:5" s="61" customFormat="1" ht="18.75" customHeight="1">
      <c r="A32" s="47" t="s">
        <v>229</v>
      </c>
      <c r="B32" s="47" t="s">
        <v>293</v>
      </c>
      <c r="C32" s="329">
        <f>'F-4'!C18</f>
        <v>328.71</v>
      </c>
      <c r="D32" s="329">
        <f>'F-4'!D18</f>
        <v>284.71</v>
      </c>
      <c r="E32" s="329">
        <f>'F-4'!E18</f>
        <v>200.53</v>
      </c>
    </row>
    <row r="33" spans="1:5" s="61" customFormat="1" ht="18.75" customHeight="1">
      <c r="A33" s="47" t="s">
        <v>230</v>
      </c>
      <c r="B33" s="47" t="s">
        <v>560</v>
      </c>
      <c r="C33" s="329">
        <f>'F-4'!C19</f>
        <v>677.8562829</v>
      </c>
      <c r="D33" s="329">
        <f>'F-4'!D19</f>
        <v>610.1193943000001</v>
      </c>
      <c r="E33" s="329">
        <f>'F-4'!E19</f>
        <v>681.5322140000001</v>
      </c>
    </row>
    <row r="34" spans="1:5" s="61" customFormat="1" ht="18.75" customHeight="1">
      <c r="A34" s="47" t="s">
        <v>231</v>
      </c>
      <c r="B34" s="47" t="s">
        <v>557</v>
      </c>
      <c r="C34" s="329">
        <f>'F-4'!C20</f>
        <v>0</v>
      </c>
      <c r="D34" s="329">
        <f>'F-4'!D20</f>
        <v>0</v>
      </c>
      <c r="E34" s="329">
        <f>'F-4'!E20</f>
        <v>956.36</v>
      </c>
    </row>
    <row r="35" spans="1:5" s="61" customFormat="1" ht="18.75" customHeight="1">
      <c r="A35" s="47" t="s">
        <v>559</v>
      </c>
      <c r="B35" s="47" t="s">
        <v>558</v>
      </c>
      <c r="C35" s="329">
        <f>'F-4'!C21</f>
        <v>0</v>
      </c>
      <c r="D35" s="329">
        <f>'F-4'!D21</f>
        <v>0</v>
      </c>
      <c r="E35" s="329">
        <f>'F-4'!E21</f>
        <v>29.6</v>
      </c>
    </row>
    <row r="36" spans="1:5" s="61" customFormat="1" ht="18.75" customHeight="1">
      <c r="A36" s="47" t="s">
        <v>561</v>
      </c>
      <c r="B36" s="47" t="s">
        <v>562</v>
      </c>
      <c r="C36" s="329">
        <f>'F-4'!C22</f>
        <v>0</v>
      </c>
      <c r="D36" s="329">
        <f>'F-4'!D22</f>
        <v>0</v>
      </c>
      <c r="E36" s="329">
        <f>'F-4'!E22</f>
        <v>15.16</v>
      </c>
    </row>
    <row r="37" spans="1:5" s="61" customFormat="1" ht="18.75" customHeight="1">
      <c r="A37" s="47" t="s">
        <v>563</v>
      </c>
      <c r="B37" s="47" t="s">
        <v>564</v>
      </c>
      <c r="C37" s="329">
        <f>'F-4'!C23</f>
        <v>0</v>
      </c>
      <c r="D37" s="329">
        <f>'F-4'!D23</f>
        <v>0</v>
      </c>
      <c r="E37" s="329">
        <f>'F-4'!E23</f>
        <v>50.82</v>
      </c>
    </row>
    <row r="38" spans="1:5" s="61" customFormat="1" ht="18.75" customHeight="1">
      <c r="A38" s="30"/>
      <c r="B38" s="208" t="s">
        <v>294</v>
      </c>
      <c r="C38" s="330">
        <f>SUM(C31:C37)</f>
        <v>1006.5662829</v>
      </c>
      <c r="D38" s="330">
        <f>SUM(D31:D37)</f>
        <v>894.8293943000001</v>
      </c>
      <c r="E38" s="330">
        <f>SUM(E31:E37)</f>
        <v>1934.002214</v>
      </c>
    </row>
    <row r="39" spans="1:5" ht="18.75" customHeight="1">
      <c r="A39" s="50" t="s">
        <v>27</v>
      </c>
      <c r="B39" s="1" t="s">
        <v>232</v>
      </c>
      <c r="C39" s="330">
        <f>C19-C29-C38</f>
        <v>-400.26696436812813</v>
      </c>
      <c r="D39" s="330">
        <f>D19-D29-D38</f>
        <v>-580.2391224409569</v>
      </c>
      <c r="E39" s="330">
        <f>E19-E29-E38</f>
        <v>-2398.9346593835053</v>
      </c>
    </row>
    <row r="40" spans="5:7" ht="12.75">
      <c r="E40" s="18"/>
      <c r="G40" s="23"/>
    </row>
    <row r="41" spans="3:7" ht="12.75">
      <c r="C41" s="12"/>
      <c r="G41" s="23"/>
    </row>
    <row r="42" spans="4:5" ht="12.75">
      <c r="D42" s="18"/>
      <c r="E42" s="18"/>
    </row>
    <row r="43" ht="12.75">
      <c r="C43" s="12"/>
    </row>
    <row r="55" ht="14.25">
      <c r="E55" s="24"/>
    </row>
    <row r="56" ht="14.25">
      <c r="E56" s="24"/>
    </row>
    <row r="57" ht="14.25">
      <c r="E57" s="24"/>
    </row>
    <row r="58" ht="14.25">
      <c r="E58" s="24"/>
    </row>
    <row r="59" ht="14.25">
      <c r="E59" s="24"/>
    </row>
    <row r="60" ht="14.25">
      <c r="E60" s="24"/>
    </row>
  </sheetData>
  <sheetProtection/>
  <mergeCells count="4">
    <mergeCell ref="A1:E1"/>
    <mergeCell ref="A2:E2"/>
    <mergeCell ref="A3:E3"/>
    <mergeCell ref="A4:E4"/>
  </mergeCells>
  <printOptions horizontalCentered="1"/>
  <pageMargins left="0.81" right="0.23" top="0.53" bottom="0.393700787401575" header="0.275590551181102" footer="0.196850393700787"/>
  <pageSetup fitToHeight="1" fitToWidth="1" horizontalDpi="600" verticalDpi="600" orientation="portrait" paperSize="9" r:id="rId1"/>
  <headerFooter alignWithMargins="0">
    <oddFooter>&amp;L&amp;F-&amp;A&amp;CPage-&amp;P of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55">
      <selection activeCell="A52" sqref="A52"/>
    </sheetView>
  </sheetViews>
  <sheetFormatPr defaultColWidth="8.28125" defaultRowHeight="12.75"/>
  <cols>
    <col min="1" max="1" width="36.421875" style="15" customWidth="1"/>
    <col min="2" max="6" width="9.421875" style="15" bestFit="1" customWidth="1"/>
    <col min="7" max="7" width="10.421875" style="15" bestFit="1" customWidth="1"/>
    <col min="8" max="9" width="9.421875" style="15" bestFit="1" customWidth="1"/>
    <col min="10" max="10" width="10.421875" style="15" bestFit="1" customWidth="1"/>
    <col min="11" max="12" width="9.421875" style="15" bestFit="1" customWidth="1"/>
    <col min="13" max="14" width="10.421875" style="15" bestFit="1" customWidth="1"/>
    <col min="15" max="15" width="15.28125" style="15" customWidth="1"/>
    <col min="16" max="16" width="12.00390625" style="15" bestFit="1" customWidth="1"/>
    <col min="17" max="16384" width="8.28125" style="15" customWidth="1"/>
  </cols>
  <sheetData>
    <row r="1" spans="1:14" s="19" customFormat="1" ht="12.75">
      <c r="A1" s="462" t="s">
        <v>300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4" s="19" customFormat="1" ht="12.75">
      <c r="A2" s="463" t="s">
        <v>301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9" customFormat="1" ht="15.75" customHeight="1">
      <c r="A3" s="464" t="s">
        <v>636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</row>
    <row r="4" spans="1:14" ht="15.75">
      <c r="A4" s="461" t="s">
        <v>584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5" spans="1:14" s="401" customFormat="1" ht="16.5" customHeight="1">
      <c r="A5" s="399" t="s">
        <v>39</v>
      </c>
      <c r="B5" s="400" t="s">
        <v>134</v>
      </c>
      <c r="C5" s="400" t="s">
        <v>135</v>
      </c>
      <c r="D5" s="400" t="s">
        <v>136</v>
      </c>
      <c r="E5" s="400" t="s">
        <v>137</v>
      </c>
      <c r="F5" s="400" t="s">
        <v>130</v>
      </c>
      <c r="G5" s="400" t="s">
        <v>138</v>
      </c>
      <c r="H5" s="400" t="s">
        <v>139</v>
      </c>
      <c r="I5" s="400" t="s">
        <v>140</v>
      </c>
      <c r="J5" s="400" t="s">
        <v>141</v>
      </c>
      <c r="K5" s="400" t="s">
        <v>142</v>
      </c>
      <c r="L5" s="400" t="s">
        <v>143</v>
      </c>
      <c r="M5" s="400" t="s">
        <v>144</v>
      </c>
      <c r="N5" s="399" t="s">
        <v>40</v>
      </c>
    </row>
    <row r="6" spans="1:14" s="401" customFormat="1" ht="16.5" customHeight="1">
      <c r="A6" s="27" t="s">
        <v>0</v>
      </c>
      <c r="B6" s="345">
        <v>-278.4383</v>
      </c>
      <c r="C6" s="346">
        <v>-261.87117848100013</v>
      </c>
      <c r="D6" s="346">
        <v>-281.4546986739865</v>
      </c>
      <c r="E6" s="346">
        <v>-318.6132604999864</v>
      </c>
      <c r="F6" s="346">
        <v>-155.60141572698637</v>
      </c>
      <c r="G6" s="346">
        <v>-301.3131139879865</v>
      </c>
      <c r="H6" s="346">
        <v>-263.8690540299865</v>
      </c>
      <c r="I6" s="346">
        <v>-200.1516012049866</v>
      </c>
      <c r="J6" s="346">
        <v>-263.5744241709866</v>
      </c>
      <c r="K6" s="346">
        <v>-217.80786528898665</v>
      </c>
      <c r="L6" s="346">
        <v>-259.66009773198647</v>
      </c>
      <c r="M6" s="346">
        <v>-280.01186336698646</v>
      </c>
      <c r="N6" s="330">
        <f>B6</f>
        <v>-278.4383</v>
      </c>
    </row>
    <row r="7" spans="1:14" s="401" customFormat="1" ht="16.5" customHeight="1">
      <c r="A7" s="27" t="s">
        <v>617</v>
      </c>
      <c r="B7" s="345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30"/>
    </row>
    <row r="8" spans="1:14" s="401" customFormat="1" ht="16.5" customHeight="1">
      <c r="A8" s="402" t="s">
        <v>303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29"/>
    </row>
    <row r="9" spans="1:14" s="401" customFormat="1" ht="16.5" customHeight="1">
      <c r="A9" s="403" t="s">
        <v>120</v>
      </c>
      <c r="B9" s="344">
        <v>109.222456563</v>
      </c>
      <c r="C9" s="344">
        <v>132.363830511</v>
      </c>
      <c r="D9" s="344">
        <v>140.387009966</v>
      </c>
      <c r="E9" s="344">
        <v>136.099724108</v>
      </c>
      <c r="F9" s="344">
        <v>117.126731771</v>
      </c>
      <c r="G9" s="344">
        <v>125.783834424</v>
      </c>
      <c r="H9" s="344">
        <v>164.731043377</v>
      </c>
      <c r="I9" s="344">
        <v>160.098339749</v>
      </c>
      <c r="J9" s="344">
        <v>161.857326209</v>
      </c>
      <c r="K9" s="344">
        <v>153.461826518</v>
      </c>
      <c r="L9" s="344">
        <v>148.33416809</v>
      </c>
      <c r="M9" s="344">
        <v>164.396446607</v>
      </c>
      <c r="N9" s="329">
        <f>SUM(B9:M9)</f>
        <v>1713.8627378929998</v>
      </c>
    </row>
    <row r="10" spans="1:14" s="401" customFormat="1" ht="16.5" customHeight="1">
      <c r="A10" s="403" t="s">
        <v>121</v>
      </c>
      <c r="B10" s="344">
        <v>120.468299</v>
      </c>
      <c r="C10" s="344">
        <v>106.513119501</v>
      </c>
      <c r="D10" s="344">
        <v>37.016287</v>
      </c>
      <c r="E10" s="344">
        <v>125.17962916</v>
      </c>
      <c r="F10" s="344">
        <v>111.2811144</v>
      </c>
      <c r="G10" s="344">
        <v>118.2043549</v>
      </c>
      <c r="H10" s="344">
        <v>125.2545393</v>
      </c>
      <c r="I10" s="344">
        <v>122.277418</v>
      </c>
      <c r="J10" s="344">
        <v>111.15053269</v>
      </c>
      <c r="K10" s="344">
        <v>103.6362711</v>
      </c>
      <c r="L10" s="344">
        <v>109.2814836</v>
      </c>
      <c r="M10" s="344">
        <v>109.6745519</v>
      </c>
      <c r="N10" s="329">
        <f>SUM(B10:M10)</f>
        <v>1299.937600551</v>
      </c>
    </row>
    <row r="11" spans="1:14" s="401" customFormat="1" ht="16.5" customHeight="1">
      <c r="A11" s="403" t="s">
        <v>122</v>
      </c>
      <c r="B11" s="344">
        <v>41.083133331</v>
      </c>
      <c r="C11" s="344">
        <v>49.095495229</v>
      </c>
      <c r="D11" s="344">
        <v>44.944183568</v>
      </c>
      <c r="E11" s="344">
        <v>47.996688445</v>
      </c>
      <c r="F11" s="344">
        <v>43.339623545</v>
      </c>
      <c r="G11" s="344">
        <v>43.150404191</v>
      </c>
      <c r="H11" s="344">
        <v>43.062884502</v>
      </c>
      <c r="I11" s="344">
        <v>0</v>
      </c>
      <c r="J11" s="344">
        <v>0</v>
      </c>
      <c r="K11" s="344">
        <v>40.25082641</v>
      </c>
      <c r="L11" s="344">
        <v>44.932915289</v>
      </c>
      <c r="M11" s="344">
        <v>40.98763368</v>
      </c>
      <c r="N11" s="329">
        <f>SUM(B11:M11)</f>
        <v>438.84378818999994</v>
      </c>
    </row>
    <row r="12" spans="1:14" s="401" customFormat="1" ht="16.5" customHeight="1">
      <c r="A12" s="404" t="s">
        <v>7</v>
      </c>
      <c r="B12" s="344">
        <v>140.515674725</v>
      </c>
      <c r="C12" s="344">
        <v>178.068134903</v>
      </c>
      <c r="D12" s="344">
        <v>188.67840674</v>
      </c>
      <c r="E12" s="344">
        <v>175.83754636</v>
      </c>
      <c r="F12" s="344">
        <v>180.828745623</v>
      </c>
      <c r="G12" s="344">
        <v>187.712084843</v>
      </c>
      <c r="H12" s="344">
        <v>191.740883646</v>
      </c>
      <c r="I12" s="344">
        <v>186.808083385</v>
      </c>
      <c r="J12" s="344">
        <v>157.860492683</v>
      </c>
      <c r="K12" s="344">
        <v>150.544190729</v>
      </c>
      <c r="L12" s="344">
        <v>147.155328186</v>
      </c>
      <c r="M12" s="344">
        <v>155.352178518</v>
      </c>
      <c r="N12" s="329">
        <f>SUM(B12:M12)</f>
        <v>2041.101750341</v>
      </c>
    </row>
    <row r="13" spans="1:14" s="401" customFormat="1" ht="16.5" customHeight="1">
      <c r="A13" s="405" t="s">
        <v>9</v>
      </c>
      <c r="B13" s="346">
        <f>SUM(B9:B12)</f>
        <v>411.289563619</v>
      </c>
      <c r="C13" s="346">
        <f aca="true" t="shared" si="0" ref="C13:N13">SUM(C9:C12)</f>
        <v>466.040580144</v>
      </c>
      <c r="D13" s="346">
        <f t="shared" si="0"/>
        <v>411.025887274</v>
      </c>
      <c r="E13" s="346">
        <f t="shared" si="0"/>
        <v>485.1135880730001</v>
      </c>
      <c r="F13" s="346">
        <f t="shared" si="0"/>
        <v>452.576215339</v>
      </c>
      <c r="G13" s="346">
        <f t="shared" si="0"/>
        <v>474.85067835800004</v>
      </c>
      <c r="H13" s="346">
        <f t="shared" si="0"/>
        <v>524.7893508249999</v>
      </c>
      <c r="I13" s="346">
        <f t="shared" si="0"/>
        <v>469.183841134</v>
      </c>
      <c r="J13" s="346">
        <f t="shared" si="0"/>
        <v>430.86835158199995</v>
      </c>
      <c r="K13" s="346">
        <f t="shared" si="0"/>
        <v>447.89311475700003</v>
      </c>
      <c r="L13" s="346">
        <f t="shared" si="0"/>
        <v>449.70389516499995</v>
      </c>
      <c r="M13" s="346">
        <f t="shared" si="0"/>
        <v>470.410810705</v>
      </c>
      <c r="N13" s="346">
        <f t="shared" si="0"/>
        <v>5493.745876975</v>
      </c>
    </row>
    <row r="14" spans="1:14" s="401" customFormat="1" ht="16.5" customHeight="1">
      <c r="A14" s="402" t="s">
        <v>304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29"/>
    </row>
    <row r="15" spans="1:14" s="401" customFormat="1" ht="16.5" customHeight="1">
      <c r="A15" s="406" t="s">
        <v>8</v>
      </c>
      <c r="B15" s="347">
        <v>2.8099</v>
      </c>
      <c r="C15" s="347">
        <v>1.8955</v>
      </c>
      <c r="D15" s="347">
        <v>2.3925</v>
      </c>
      <c r="E15" s="347">
        <v>4.6978</v>
      </c>
      <c r="F15" s="347">
        <v>0</v>
      </c>
      <c r="G15" s="347">
        <v>1.7579</v>
      </c>
      <c r="H15" s="347">
        <v>8.480498</v>
      </c>
      <c r="I15" s="347">
        <v>14.0152164</v>
      </c>
      <c r="J15" s="347">
        <v>8.9516679</v>
      </c>
      <c r="K15" s="347">
        <v>5.9812124</v>
      </c>
      <c r="L15" s="347">
        <v>0.6420952</v>
      </c>
      <c r="M15" s="347">
        <v>0.9826719</v>
      </c>
      <c r="N15" s="329">
        <f>SUM(B15:M15)</f>
        <v>52.60696180000001</v>
      </c>
    </row>
    <row r="16" spans="1:14" s="401" customFormat="1" ht="16.5" customHeight="1">
      <c r="A16" s="406" t="s">
        <v>119</v>
      </c>
      <c r="B16" s="347">
        <v>80.3589</v>
      </c>
      <c r="C16" s="347">
        <v>82.8799</v>
      </c>
      <c r="D16" s="347">
        <v>82.9245</v>
      </c>
      <c r="E16" s="347">
        <v>81.0101</v>
      </c>
      <c r="F16" s="347">
        <v>64.5557</v>
      </c>
      <c r="G16" s="347">
        <v>96.6364</v>
      </c>
      <c r="H16" s="347">
        <v>61.7634215</v>
      </c>
      <c r="I16" s="347">
        <v>58.3477065</v>
      </c>
      <c r="J16" s="347">
        <v>40.7239005</v>
      </c>
      <c r="K16" s="347">
        <v>17.3465274</v>
      </c>
      <c r="L16" s="347">
        <v>23.3960581</v>
      </c>
      <c r="M16" s="347">
        <v>19.915835899999998</v>
      </c>
      <c r="N16" s="329">
        <f>SUM(B16:M16)</f>
        <v>709.8589499000001</v>
      </c>
    </row>
    <row r="17" spans="1:14" s="401" customFormat="1" ht="16.5" customHeight="1">
      <c r="A17" s="406" t="s">
        <v>618</v>
      </c>
      <c r="B17" s="347">
        <v>0</v>
      </c>
      <c r="C17" s="347">
        <v>0</v>
      </c>
      <c r="D17" s="347">
        <v>0</v>
      </c>
      <c r="E17" s="347">
        <v>1.466</v>
      </c>
      <c r="F17" s="347">
        <v>0</v>
      </c>
      <c r="G17" s="347">
        <v>0</v>
      </c>
      <c r="H17" s="347">
        <v>0</v>
      </c>
      <c r="I17" s="347">
        <v>0</v>
      </c>
      <c r="J17" s="347">
        <v>0</v>
      </c>
      <c r="K17" s="347">
        <v>4.0915</v>
      </c>
      <c r="L17" s="347">
        <v>0.875201</v>
      </c>
      <c r="M17" s="347">
        <v>0</v>
      </c>
      <c r="N17" s="329">
        <f>SUM(B17:M17)</f>
        <v>6.432701</v>
      </c>
    </row>
    <row r="18" spans="1:14" s="401" customFormat="1" ht="16.5" customHeight="1">
      <c r="A18" s="407" t="s">
        <v>10</v>
      </c>
      <c r="B18" s="346">
        <f>SUM(B15:B17)</f>
        <v>83.1688</v>
      </c>
      <c r="C18" s="346">
        <f aca="true" t="shared" si="1" ref="C18:N18">SUM(C15:C17)</f>
        <v>84.7754</v>
      </c>
      <c r="D18" s="346">
        <f t="shared" si="1"/>
        <v>85.317</v>
      </c>
      <c r="E18" s="346">
        <f t="shared" si="1"/>
        <v>87.17389999999999</v>
      </c>
      <c r="F18" s="346">
        <f t="shared" si="1"/>
        <v>64.5557</v>
      </c>
      <c r="G18" s="346">
        <f t="shared" si="1"/>
        <v>98.3943</v>
      </c>
      <c r="H18" s="346">
        <f t="shared" si="1"/>
        <v>70.2439195</v>
      </c>
      <c r="I18" s="346">
        <f t="shared" si="1"/>
        <v>72.3629229</v>
      </c>
      <c r="J18" s="346">
        <f t="shared" si="1"/>
        <v>49.6755684</v>
      </c>
      <c r="K18" s="346">
        <f t="shared" si="1"/>
        <v>27.4192398</v>
      </c>
      <c r="L18" s="346">
        <f t="shared" si="1"/>
        <v>24.9133543</v>
      </c>
      <c r="M18" s="346">
        <f t="shared" si="1"/>
        <v>20.898507799999997</v>
      </c>
      <c r="N18" s="346">
        <f t="shared" si="1"/>
        <v>768.8986127000001</v>
      </c>
    </row>
    <row r="19" spans="1:14" s="401" customFormat="1" ht="16.5" customHeight="1">
      <c r="A19" s="408" t="s">
        <v>365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29"/>
    </row>
    <row r="20" spans="1:14" s="401" customFormat="1" ht="16.5" customHeight="1">
      <c r="A20" s="409" t="s">
        <v>11</v>
      </c>
      <c r="B20" s="347">
        <v>0</v>
      </c>
      <c r="C20" s="347">
        <v>0</v>
      </c>
      <c r="D20" s="347">
        <v>100</v>
      </c>
      <c r="E20" s="347">
        <v>124.5</v>
      </c>
      <c r="F20" s="347">
        <v>3</v>
      </c>
      <c r="G20" s="347">
        <v>0</v>
      </c>
      <c r="H20" s="347">
        <v>0</v>
      </c>
      <c r="I20" s="347">
        <v>20</v>
      </c>
      <c r="J20" s="347">
        <v>0</v>
      </c>
      <c r="K20" s="347">
        <v>0</v>
      </c>
      <c r="L20" s="347">
        <v>0</v>
      </c>
      <c r="M20" s="347">
        <v>236</v>
      </c>
      <c r="N20" s="329">
        <f>SUM(B20:M20)</f>
        <v>483.5</v>
      </c>
    </row>
    <row r="21" spans="1:14" s="401" customFormat="1" ht="16.5" customHeight="1">
      <c r="A21" s="410" t="s">
        <v>12</v>
      </c>
      <c r="B21" s="347">
        <v>0</v>
      </c>
      <c r="C21" s="347">
        <v>2.7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  <c r="J21" s="347">
        <v>0</v>
      </c>
      <c r="K21" s="347">
        <v>0</v>
      </c>
      <c r="L21" s="347">
        <v>2.1668</v>
      </c>
      <c r="M21" s="347">
        <v>125.015</v>
      </c>
      <c r="N21" s="329">
        <f>SUM(B21:M21)</f>
        <v>129.8818</v>
      </c>
    </row>
    <row r="22" spans="1:15" s="401" customFormat="1" ht="16.5" customHeight="1">
      <c r="A22" s="410" t="s">
        <v>13</v>
      </c>
      <c r="B22" s="347">
        <v>62.51</v>
      </c>
      <c r="C22" s="347">
        <v>62.51</v>
      </c>
      <c r="D22" s="347">
        <v>62.75</v>
      </c>
      <c r="E22" s="347">
        <v>62.75</v>
      </c>
      <c r="F22" s="347">
        <v>62.75</v>
      </c>
      <c r="G22" s="347">
        <v>53.24</v>
      </c>
      <c r="H22" s="347">
        <v>0</v>
      </c>
      <c r="I22" s="347">
        <v>0</v>
      </c>
      <c r="J22" s="347">
        <v>0</v>
      </c>
      <c r="K22" s="347">
        <v>0</v>
      </c>
      <c r="L22" s="347" t="s">
        <v>50</v>
      </c>
      <c r="M22" s="347">
        <v>118.18</v>
      </c>
      <c r="N22" s="329">
        <f>SUM(B22:M22)</f>
        <v>484.69</v>
      </c>
      <c r="O22" s="401">
        <f>63.78-56</f>
        <v>7.780000000000001</v>
      </c>
    </row>
    <row r="23" spans="1:14" s="401" customFormat="1" ht="16.5" customHeight="1">
      <c r="A23" s="407" t="s">
        <v>10</v>
      </c>
      <c r="B23" s="346">
        <f>SUM(B20:B22)</f>
        <v>62.51</v>
      </c>
      <c r="C23" s="346">
        <f aca="true" t="shared" si="2" ref="C23:N23">SUM(C20:C22)</f>
        <v>65.21</v>
      </c>
      <c r="D23" s="346">
        <f t="shared" si="2"/>
        <v>162.75</v>
      </c>
      <c r="E23" s="346">
        <f t="shared" si="2"/>
        <v>187.25</v>
      </c>
      <c r="F23" s="346">
        <f t="shared" si="2"/>
        <v>65.75</v>
      </c>
      <c r="G23" s="346">
        <f t="shared" si="2"/>
        <v>53.24</v>
      </c>
      <c r="H23" s="346">
        <f t="shared" si="2"/>
        <v>0</v>
      </c>
      <c r="I23" s="346">
        <f t="shared" si="2"/>
        <v>20</v>
      </c>
      <c r="J23" s="346">
        <f t="shared" si="2"/>
        <v>0</v>
      </c>
      <c r="K23" s="346">
        <f t="shared" si="2"/>
        <v>0</v>
      </c>
      <c r="L23" s="346">
        <f t="shared" si="2"/>
        <v>2.1668</v>
      </c>
      <c r="M23" s="346">
        <f t="shared" si="2"/>
        <v>479.195</v>
      </c>
      <c r="N23" s="346">
        <f t="shared" si="2"/>
        <v>1098.0718</v>
      </c>
    </row>
    <row r="24" spans="1:14" s="401" customFormat="1" ht="16.5" customHeight="1">
      <c r="A24" s="54" t="s">
        <v>14</v>
      </c>
      <c r="B24" s="346">
        <f>B23+B18+B13</f>
        <v>556.968363619</v>
      </c>
      <c r="C24" s="346">
        <f aca="true" t="shared" si="3" ref="C24:N24">C23+C18+C13</f>
        <v>616.025980144</v>
      </c>
      <c r="D24" s="346">
        <f t="shared" si="3"/>
        <v>659.0928872740001</v>
      </c>
      <c r="E24" s="346">
        <f t="shared" si="3"/>
        <v>759.5374880730001</v>
      </c>
      <c r="F24" s="346">
        <f t="shared" si="3"/>
        <v>582.881915339</v>
      </c>
      <c r="G24" s="346">
        <f t="shared" si="3"/>
        <v>626.484978358</v>
      </c>
      <c r="H24" s="346">
        <f t="shared" si="3"/>
        <v>595.0332703249999</v>
      </c>
      <c r="I24" s="346">
        <f t="shared" si="3"/>
        <v>561.546764034</v>
      </c>
      <c r="J24" s="346">
        <f t="shared" si="3"/>
        <v>480.5439199819999</v>
      </c>
      <c r="K24" s="346">
        <f t="shared" si="3"/>
        <v>475.31235455700005</v>
      </c>
      <c r="L24" s="346">
        <f t="shared" si="3"/>
        <v>476.78404946499995</v>
      </c>
      <c r="M24" s="346">
        <f t="shared" si="3"/>
        <v>970.504318505</v>
      </c>
      <c r="N24" s="346">
        <f t="shared" si="3"/>
        <v>7360.716289675</v>
      </c>
    </row>
    <row r="25" spans="1:14" s="401" customFormat="1" ht="16.5" customHeight="1">
      <c r="A25" s="27" t="s">
        <v>15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29"/>
    </row>
    <row r="26" spans="1:14" s="401" customFormat="1" ht="16.5" customHeight="1">
      <c r="A26" s="410" t="s">
        <v>170</v>
      </c>
      <c r="B26" s="347">
        <v>385.9303671</v>
      </c>
      <c r="C26" s="347">
        <v>502.35392600000006</v>
      </c>
      <c r="D26" s="347">
        <v>417.82246710000004</v>
      </c>
      <c r="E26" s="347">
        <v>465.17812599999996</v>
      </c>
      <c r="F26" s="347">
        <v>561.926726</v>
      </c>
      <c r="G26" s="347">
        <v>355.6411671</v>
      </c>
      <c r="H26" s="347">
        <v>386.75449999999995</v>
      </c>
      <c r="I26" s="347">
        <v>500.52430000000004</v>
      </c>
      <c r="J26" s="347">
        <v>334.9327734</v>
      </c>
      <c r="K26" s="347">
        <v>427.56708789999993</v>
      </c>
      <c r="L26" s="347">
        <v>407.0118999999999</v>
      </c>
      <c r="M26" s="347">
        <v>480.9886168</v>
      </c>
      <c r="N26" s="329">
        <f aca="true" t="shared" si="4" ref="N26:N33">SUM(B26:M26)</f>
        <v>5226.6319574</v>
      </c>
    </row>
    <row r="27" spans="1:14" s="401" customFormat="1" ht="16.5" customHeight="1">
      <c r="A27" s="410" t="s">
        <v>366</v>
      </c>
      <c r="B27" s="347">
        <v>9.5045</v>
      </c>
      <c r="C27" s="347">
        <v>8.957699999999999</v>
      </c>
      <c r="D27" s="347">
        <v>7.193099999999999</v>
      </c>
      <c r="E27" s="347">
        <v>8.5185</v>
      </c>
      <c r="F27" s="347">
        <v>8.8848</v>
      </c>
      <c r="G27" s="347">
        <v>4.3856</v>
      </c>
      <c r="H27" s="347">
        <v>0.3082</v>
      </c>
      <c r="I27" s="347">
        <v>7.007300000000001</v>
      </c>
      <c r="J27" s="347">
        <v>5.427999999999999</v>
      </c>
      <c r="K27" s="347">
        <v>5.9156</v>
      </c>
      <c r="L27" s="347">
        <v>7.4459</v>
      </c>
      <c r="M27" s="347">
        <v>6.7669999999999995</v>
      </c>
      <c r="N27" s="329">
        <f t="shared" si="4"/>
        <v>80.31619999999998</v>
      </c>
    </row>
    <row r="28" spans="1:14" s="401" customFormat="1" ht="16.5" customHeight="1">
      <c r="A28" s="410" t="s">
        <v>16</v>
      </c>
      <c r="B28" s="347">
        <v>0.35</v>
      </c>
      <c r="C28" s="347">
        <v>0.35</v>
      </c>
      <c r="D28" s="347">
        <v>0.25</v>
      </c>
      <c r="E28" s="347">
        <v>0.3</v>
      </c>
      <c r="F28" s="347">
        <v>0.25</v>
      </c>
      <c r="G28" s="347">
        <v>0.3</v>
      </c>
      <c r="H28" s="347">
        <v>0.3</v>
      </c>
      <c r="I28" s="347">
        <v>0</v>
      </c>
      <c r="J28" s="347">
        <v>0.7</v>
      </c>
      <c r="K28" s="347">
        <v>0.35</v>
      </c>
      <c r="L28" s="347">
        <v>0.35</v>
      </c>
      <c r="M28" s="347">
        <v>0</v>
      </c>
      <c r="N28" s="329">
        <f t="shared" si="4"/>
        <v>3.5</v>
      </c>
    </row>
    <row r="29" spans="1:14" s="401" customFormat="1" ht="16.5" customHeight="1">
      <c r="A29" s="410" t="s">
        <v>118</v>
      </c>
      <c r="B29" s="347">
        <v>1.8</v>
      </c>
      <c r="C29" s="347">
        <v>0</v>
      </c>
      <c r="D29" s="347">
        <v>0.45</v>
      </c>
      <c r="E29" s="347">
        <v>0.35</v>
      </c>
      <c r="F29" s="347">
        <v>0.35</v>
      </c>
      <c r="G29" s="347">
        <v>0</v>
      </c>
      <c r="H29" s="347">
        <v>0.3</v>
      </c>
      <c r="I29" s="347">
        <v>0.21</v>
      </c>
      <c r="J29" s="347">
        <v>0.25</v>
      </c>
      <c r="K29" s="347">
        <v>0.65</v>
      </c>
      <c r="L29" s="347">
        <v>0.3</v>
      </c>
      <c r="M29" s="347">
        <v>0.3</v>
      </c>
      <c r="N29" s="329">
        <f t="shared" si="4"/>
        <v>4.96</v>
      </c>
    </row>
    <row r="30" spans="1:14" s="401" customFormat="1" ht="16.5" customHeight="1">
      <c r="A30" s="410" t="s">
        <v>17</v>
      </c>
      <c r="B30" s="347">
        <v>35.7383537</v>
      </c>
      <c r="C30" s="347">
        <v>47.0517986</v>
      </c>
      <c r="D30" s="347">
        <v>164.4450989</v>
      </c>
      <c r="E30" s="347">
        <v>39.4091722</v>
      </c>
      <c r="F30" s="347">
        <v>46.0602363</v>
      </c>
      <c r="G30" s="347">
        <v>123.894867</v>
      </c>
      <c r="H30" s="347">
        <v>60.7391</v>
      </c>
      <c r="I30" s="347">
        <v>84.4655508</v>
      </c>
      <c r="J30" s="347">
        <v>52.4933335</v>
      </c>
      <c r="K30" s="347">
        <v>52.4933335</v>
      </c>
      <c r="L30" s="347">
        <v>58.2233335</v>
      </c>
      <c r="M30" s="347">
        <v>241.5521049</v>
      </c>
      <c r="N30" s="329">
        <f t="shared" si="4"/>
        <v>1006.5662828999998</v>
      </c>
    </row>
    <row r="31" spans="1:14" s="401" customFormat="1" ht="16.5" customHeight="1">
      <c r="A31" s="410" t="s">
        <v>18</v>
      </c>
      <c r="B31" s="347">
        <v>24.2382213</v>
      </c>
      <c r="C31" s="347">
        <v>33.0744757369863</v>
      </c>
      <c r="D31" s="347">
        <v>43.5907831</v>
      </c>
      <c r="E31" s="347">
        <v>20.7698451</v>
      </c>
      <c r="F31" s="347">
        <v>33.3718513</v>
      </c>
      <c r="G31" s="347">
        <v>55.5686843</v>
      </c>
      <c r="H31" s="347">
        <v>29.5819175</v>
      </c>
      <c r="I31" s="347">
        <v>31.2624362</v>
      </c>
      <c r="J31" s="347">
        <v>40.9732542</v>
      </c>
      <c r="K31" s="347">
        <v>30.1885656</v>
      </c>
      <c r="L31" s="347">
        <v>23.8046816</v>
      </c>
      <c r="M31" s="347">
        <v>31.3604116</v>
      </c>
      <c r="N31" s="329">
        <f t="shared" si="4"/>
        <v>397.7851275369863</v>
      </c>
    </row>
    <row r="32" spans="1:14" s="401" customFormat="1" ht="16.5" customHeight="1">
      <c r="A32" s="410" t="s">
        <v>19</v>
      </c>
      <c r="B32" s="347">
        <v>0</v>
      </c>
      <c r="C32" s="347">
        <v>1.2</v>
      </c>
      <c r="D32" s="347">
        <v>0</v>
      </c>
      <c r="E32" s="347">
        <v>0</v>
      </c>
      <c r="F32" s="347">
        <v>0</v>
      </c>
      <c r="G32" s="347">
        <v>0</v>
      </c>
      <c r="H32" s="347">
        <v>0</v>
      </c>
      <c r="I32" s="347">
        <v>1.5</v>
      </c>
      <c r="J32" s="347">
        <v>0</v>
      </c>
      <c r="K32" s="347">
        <v>0</v>
      </c>
      <c r="L32" s="347">
        <v>0</v>
      </c>
      <c r="M32" s="347">
        <v>146.34160000000003</v>
      </c>
      <c r="N32" s="329">
        <f t="shared" si="4"/>
        <v>149.04160000000002</v>
      </c>
    </row>
    <row r="33" spans="1:14" s="401" customFormat="1" ht="16.5" customHeight="1">
      <c r="A33" s="410" t="s">
        <v>20</v>
      </c>
      <c r="B33" s="347">
        <v>82.8398</v>
      </c>
      <c r="C33" s="347">
        <v>42.6216</v>
      </c>
      <c r="D33" s="347">
        <v>62.5</v>
      </c>
      <c r="E33" s="347">
        <v>62</v>
      </c>
      <c r="F33" s="347">
        <v>77.75</v>
      </c>
      <c r="G33" s="347">
        <v>49.2506</v>
      </c>
      <c r="H33" s="347">
        <v>53.3321</v>
      </c>
      <c r="I33" s="347">
        <v>0</v>
      </c>
      <c r="J33" s="347">
        <v>0</v>
      </c>
      <c r="K33" s="347">
        <v>0</v>
      </c>
      <c r="L33" s="347">
        <v>0</v>
      </c>
      <c r="M33" s="347">
        <v>0</v>
      </c>
      <c r="N33" s="329">
        <f t="shared" si="4"/>
        <v>430.29410000000007</v>
      </c>
    </row>
    <row r="34" spans="1:14" s="401" customFormat="1" ht="16.5" customHeight="1">
      <c r="A34" s="27" t="s">
        <v>21</v>
      </c>
      <c r="B34" s="346">
        <f>SUM(B26:B33)</f>
        <v>540.4012421000001</v>
      </c>
      <c r="C34" s="346">
        <f aca="true" t="shared" si="5" ref="C34:N34">SUM(C26:C33)</f>
        <v>635.6095003369865</v>
      </c>
      <c r="D34" s="346">
        <f t="shared" si="5"/>
        <v>696.2514491</v>
      </c>
      <c r="E34" s="346">
        <f t="shared" si="5"/>
        <v>596.5256433000001</v>
      </c>
      <c r="F34" s="346">
        <f t="shared" si="5"/>
        <v>728.5936136000001</v>
      </c>
      <c r="G34" s="346">
        <f t="shared" si="5"/>
        <v>589.0409184</v>
      </c>
      <c r="H34" s="346">
        <f t="shared" si="5"/>
        <v>531.3158175</v>
      </c>
      <c r="I34" s="346">
        <f t="shared" si="5"/>
        <v>624.969587</v>
      </c>
      <c r="J34" s="346">
        <f t="shared" si="5"/>
        <v>434.77736109999995</v>
      </c>
      <c r="K34" s="346">
        <f t="shared" si="5"/>
        <v>517.1645869999999</v>
      </c>
      <c r="L34" s="346">
        <f t="shared" si="5"/>
        <v>497.13581509999995</v>
      </c>
      <c r="M34" s="346">
        <f t="shared" si="5"/>
        <v>907.3097333000001</v>
      </c>
      <c r="N34" s="346">
        <f t="shared" si="5"/>
        <v>7299.095267836988</v>
      </c>
    </row>
    <row r="35" spans="1:14" s="411" customFormat="1" ht="16.5" customHeight="1">
      <c r="A35" s="27" t="s">
        <v>38</v>
      </c>
      <c r="B35" s="346">
        <f>B6+B24-B34</f>
        <v>-261.87117848100013</v>
      </c>
      <c r="C35" s="346">
        <f aca="true" t="shared" si="6" ref="C35:N35">C6+C24-C34</f>
        <v>-281.4546986739866</v>
      </c>
      <c r="D35" s="346">
        <f t="shared" si="6"/>
        <v>-318.6132604999864</v>
      </c>
      <c r="E35" s="346">
        <f t="shared" si="6"/>
        <v>-155.60141572698637</v>
      </c>
      <c r="F35" s="346">
        <f t="shared" si="6"/>
        <v>-301.3131139879865</v>
      </c>
      <c r="G35" s="346">
        <f t="shared" si="6"/>
        <v>-263.8690540299865</v>
      </c>
      <c r="H35" s="346">
        <f t="shared" si="6"/>
        <v>-200.1516012049866</v>
      </c>
      <c r="I35" s="346">
        <f t="shared" si="6"/>
        <v>-263.5744241709866</v>
      </c>
      <c r="J35" s="346">
        <f t="shared" si="6"/>
        <v>-217.80786528898665</v>
      </c>
      <c r="K35" s="346">
        <f t="shared" si="6"/>
        <v>-259.66009773198647</v>
      </c>
      <c r="L35" s="346">
        <f t="shared" si="6"/>
        <v>-280.01186336698646</v>
      </c>
      <c r="M35" s="346">
        <f t="shared" si="6"/>
        <v>-216.81727816198645</v>
      </c>
      <c r="N35" s="346">
        <f t="shared" si="6"/>
        <v>-216.81727816198782</v>
      </c>
    </row>
    <row r="36" spans="1:14" s="401" customFormat="1" ht="16.5" customHeight="1">
      <c r="A36" s="465" t="s">
        <v>585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</row>
    <row r="37" spans="1:14" s="401" customFormat="1" ht="16.5" customHeight="1">
      <c r="A37" s="399" t="s">
        <v>39</v>
      </c>
      <c r="B37" s="400" t="s">
        <v>134</v>
      </c>
      <c r="C37" s="400" t="s">
        <v>135</v>
      </c>
      <c r="D37" s="400" t="s">
        <v>136</v>
      </c>
      <c r="E37" s="400" t="s">
        <v>137</v>
      </c>
      <c r="F37" s="400" t="s">
        <v>130</v>
      </c>
      <c r="G37" s="400" t="s">
        <v>138</v>
      </c>
      <c r="H37" s="400" t="s">
        <v>139</v>
      </c>
      <c r="I37" s="400" t="s">
        <v>140</v>
      </c>
      <c r="J37" s="400" t="s">
        <v>141</v>
      </c>
      <c r="K37" s="400" t="s">
        <v>142</v>
      </c>
      <c r="L37" s="400" t="s">
        <v>143</v>
      </c>
      <c r="M37" s="400" t="s">
        <v>144</v>
      </c>
      <c r="N37" s="399" t="s">
        <v>40</v>
      </c>
    </row>
    <row r="38" spans="1:14" s="401" customFormat="1" ht="16.5" customHeight="1">
      <c r="A38" s="27" t="s">
        <v>0</v>
      </c>
      <c r="B38" s="346">
        <v>-216.82</v>
      </c>
      <c r="C38" s="346">
        <v>-216.30215650000008</v>
      </c>
      <c r="D38" s="346">
        <v>-227.72525950000005</v>
      </c>
      <c r="E38" s="346">
        <v>-221.1539416299999</v>
      </c>
      <c r="F38" s="346">
        <v>-242.25470890000003</v>
      </c>
      <c r="G38" s="346">
        <v>-154.02761206500003</v>
      </c>
      <c r="H38" s="346">
        <v>-108.00391610400015</v>
      </c>
      <c r="I38" s="346">
        <v>-108.00391610400015</v>
      </c>
      <c r="J38" s="346">
        <v>-108.00391610400015</v>
      </c>
      <c r="K38" s="346">
        <v>-108.00391610400015</v>
      </c>
      <c r="L38" s="346">
        <v>-108.00391610400015</v>
      </c>
      <c r="M38" s="346">
        <v>-108.00391610400015</v>
      </c>
      <c r="N38" s="330">
        <f>B38</f>
        <v>-216.82</v>
      </c>
    </row>
    <row r="39" spans="1:14" s="401" customFormat="1" ht="15.75" customHeight="1">
      <c r="A39" s="27" t="s">
        <v>617</v>
      </c>
      <c r="B39" s="345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30"/>
    </row>
    <row r="40" spans="1:14" s="401" customFormat="1" ht="15.75" customHeight="1">
      <c r="A40" s="402" t="s">
        <v>303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29"/>
    </row>
    <row r="41" spans="1:14" s="401" customFormat="1" ht="15.75" customHeight="1">
      <c r="A41" s="403" t="s">
        <v>120</v>
      </c>
      <c r="B41" s="344">
        <v>136.4737595</v>
      </c>
      <c r="C41" s="344">
        <v>165.5407912</v>
      </c>
      <c r="D41" s="344">
        <v>173.4980572</v>
      </c>
      <c r="E41" s="344">
        <v>175.9653845</v>
      </c>
      <c r="F41" s="344">
        <v>167.355395768</v>
      </c>
      <c r="G41" s="344">
        <v>157.50926437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29">
        <f>SUM(B41:M41)</f>
        <v>976.3426525379999</v>
      </c>
    </row>
    <row r="42" spans="1:14" s="401" customFormat="1" ht="15.75" customHeight="1">
      <c r="A42" s="403" t="s">
        <v>121</v>
      </c>
      <c r="B42" s="344">
        <v>97.2060372</v>
      </c>
      <c r="C42" s="344">
        <v>116.4847916</v>
      </c>
      <c r="D42" s="344">
        <v>117.8404704</v>
      </c>
      <c r="E42" s="344">
        <v>115.004892</v>
      </c>
      <c r="F42" s="344">
        <v>108.6066512</v>
      </c>
      <c r="G42" s="344">
        <v>113.4827933</v>
      </c>
      <c r="H42" s="344">
        <v>0</v>
      </c>
      <c r="I42" s="344">
        <v>0</v>
      </c>
      <c r="J42" s="344">
        <v>0</v>
      </c>
      <c r="K42" s="344">
        <v>0</v>
      </c>
      <c r="L42" s="344">
        <v>0</v>
      </c>
      <c r="M42" s="344">
        <v>0</v>
      </c>
      <c r="N42" s="329">
        <f>SUM(B42:M42)</f>
        <v>668.6256357</v>
      </c>
    </row>
    <row r="43" spans="1:14" s="401" customFormat="1" ht="15.75" customHeight="1">
      <c r="A43" s="403" t="s">
        <v>122</v>
      </c>
      <c r="B43" s="344">
        <v>50.338172</v>
      </c>
      <c r="C43" s="344">
        <v>52.635194</v>
      </c>
      <c r="D43" s="344">
        <v>15</v>
      </c>
      <c r="E43" s="344">
        <v>37.54126263</v>
      </c>
      <c r="F43" s="344">
        <v>48.378692097</v>
      </c>
      <c r="G43" s="344">
        <v>44.608989091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29">
        <f>SUM(B43:M43)</f>
        <v>248.50230981800001</v>
      </c>
    </row>
    <row r="44" spans="1:14" s="401" customFormat="1" ht="15.75" customHeight="1">
      <c r="A44" s="404" t="s">
        <v>7</v>
      </c>
      <c r="B44" s="344">
        <v>144.7952608</v>
      </c>
      <c r="C44" s="344">
        <v>178.8808655</v>
      </c>
      <c r="D44" s="344">
        <v>199.81398157</v>
      </c>
      <c r="E44" s="344">
        <v>200.0548634</v>
      </c>
      <c r="F44" s="344">
        <v>189.72447167</v>
      </c>
      <c r="G44" s="344">
        <v>189.7208161</v>
      </c>
      <c r="H44" s="344">
        <v>0</v>
      </c>
      <c r="I44" s="344">
        <v>0</v>
      </c>
      <c r="J44" s="344">
        <v>0</v>
      </c>
      <c r="K44" s="344">
        <v>0</v>
      </c>
      <c r="L44" s="344">
        <v>0</v>
      </c>
      <c r="M44" s="344">
        <v>0</v>
      </c>
      <c r="N44" s="329">
        <f>SUM(B44:M44)</f>
        <v>1102.99025904</v>
      </c>
    </row>
    <row r="45" spans="1:14" s="401" customFormat="1" ht="15.75" customHeight="1">
      <c r="A45" s="405" t="s">
        <v>9</v>
      </c>
      <c r="B45" s="346">
        <f aca="true" t="shared" si="7" ref="B45:N45">SUM(B41:B44)</f>
        <v>428.8132295</v>
      </c>
      <c r="C45" s="346">
        <f t="shared" si="7"/>
        <v>513.5416423</v>
      </c>
      <c r="D45" s="346">
        <f t="shared" si="7"/>
        <v>506.15250917000003</v>
      </c>
      <c r="E45" s="346">
        <f t="shared" si="7"/>
        <v>528.56640253</v>
      </c>
      <c r="F45" s="346">
        <f t="shared" si="7"/>
        <v>514.0652107349999</v>
      </c>
      <c r="G45" s="346">
        <f t="shared" si="7"/>
        <v>505.321862861</v>
      </c>
      <c r="H45" s="346">
        <f t="shared" si="7"/>
        <v>0</v>
      </c>
      <c r="I45" s="346">
        <f t="shared" si="7"/>
        <v>0</v>
      </c>
      <c r="J45" s="346">
        <f t="shared" si="7"/>
        <v>0</v>
      </c>
      <c r="K45" s="346">
        <f t="shared" si="7"/>
        <v>0</v>
      </c>
      <c r="L45" s="346">
        <f t="shared" si="7"/>
        <v>0</v>
      </c>
      <c r="M45" s="346">
        <f t="shared" si="7"/>
        <v>0</v>
      </c>
      <c r="N45" s="346">
        <f t="shared" si="7"/>
        <v>2996.460857096</v>
      </c>
    </row>
    <row r="46" spans="1:14" s="401" customFormat="1" ht="15.75" customHeight="1">
      <c r="A46" s="402" t="s">
        <v>304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29"/>
    </row>
    <row r="47" spans="1:14" s="401" customFormat="1" ht="15.75" customHeight="1">
      <c r="A47" s="406" t="s">
        <v>8</v>
      </c>
      <c r="B47" s="347">
        <v>1.4905505</v>
      </c>
      <c r="C47" s="347">
        <v>4.8740028</v>
      </c>
      <c r="D47" s="347">
        <v>5.9407799</v>
      </c>
      <c r="E47" s="347">
        <v>0</v>
      </c>
      <c r="F47" s="347">
        <v>6.4768948</v>
      </c>
      <c r="G47" s="347">
        <v>9.901877</v>
      </c>
      <c r="H47" s="347">
        <v>0</v>
      </c>
      <c r="I47" s="347">
        <v>0</v>
      </c>
      <c r="J47" s="347">
        <v>0</v>
      </c>
      <c r="K47" s="347">
        <v>0</v>
      </c>
      <c r="L47" s="347">
        <v>0</v>
      </c>
      <c r="M47" s="347">
        <v>0</v>
      </c>
      <c r="N47" s="329">
        <f>SUM(B47:M47)</f>
        <v>28.684105000000002</v>
      </c>
    </row>
    <row r="48" spans="1:14" s="401" customFormat="1" ht="15.75" customHeight="1">
      <c r="A48" s="406" t="s">
        <v>119</v>
      </c>
      <c r="B48" s="347">
        <v>15.6346448</v>
      </c>
      <c r="C48" s="347">
        <v>9.1247262</v>
      </c>
      <c r="D48" s="347">
        <v>38.966515599999994</v>
      </c>
      <c r="E48" s="347">
        <v>28.6580543</v>
      </c>
      <c r="F48" s="347">
        <v>60.2901075</v>
      </c>
      <c r="G48" s="347">
        <v>100.4792077</v>
      </c>
      <c r="H48" s="347">
        <v>0</v>
      </c>
      <c r="I48" s="347">
        <v>0</v>
      </c>
      <c r="J48" s="347">
        <v>0</v>
      </c>
      <c r="K48" s="347">
        <v>0</v>
      </c>
      <c r="L48" s="347">
        <v>0</v>
      </c>
      <c r="M48" s="347">
        <v>0</v>
      </c>
      <c r="N48" s="329">
        <f>SUM(B48:M48)</f>
        <v>253.15325610000002</v>
      </c>
    </row>
    <row r="49" spans="1:14" s="401" customFormat="1" ht="15.75" customHeight="1">
      <c r="A49" s="406" t="s">
        <v>618</v>
      </c>
      <c r="B49" s="347">
        <v>0</v>
      </c>
      <c r="C49" s="347">
        <v>6.7102958</v>
      </c>
      <c r="D49" s="347">
        <v>0</v>
      </c>
      <c r="E49" s="347">
        <v>2.6700455</v>
      </c>
      <c r="F49" s="347">
        <v>3.2791536</v>
      </c>
      <c r="G49" s="347">
        <v>0</v>
      </c>
      <c r="H49" s="347">
        <v>0</v>
      </c>
      <c r="I49" s="347">
        <v>0</v>
      </c>
      <c r="J49" s="347">
        <v>0</v>
      </c>
      <c r="K49" s="347">
        <v>0</v>
      </c>
      <c r="L49" s="347">
        <v>0</v>
      </c>
      <c r="M49" s="347">
        <v>0</v>
      </c>
      <c r="N49" s="329">
        <f>SUM(B49:M49)</f>
        <v>12.659494899999999</v>
      </c>
    </row>
    <row r="50" spans="1:14" s="401" customFormat="1" ht="15.75" customHeight="1">
      <c r="A50" s="407" t="s">
        <v>10</v>
      </c>
      <c r="B50" s="346">
        <f>SUM(B47:B49)</f>
        <v>17.1251953</v>
      </c>
      <c r="C50" s="346">
        <f aca="true" t="shared" si="8" ref="C50:M50">SUM(C47:C49)</f>
        <v>20.7090248</v>
      </c>
      <c r="D50" s="346">
        <f t="shared" si="8"/>
        <v>44.9072955</v>
      </c>
      <c r="E50" s="346">
        <f t="shared" si="8"/>
        <v>31.3280998</v>
      </c>
      <c r="F50" s="346">
        <f t="shared" si="8"/>
        <v>70.0461559</v>
      </c>
      <c r="G50" s="346">
        <f t="shared" si="8"/>
        <v>110.3810847</v>
      </c>
      <c r="H50" s="346">
        <f t="shared" si="8"/>
        <v>0</v>
      </c>
      <c r="I50" s="346">
        <f t="shared" si="8"/>
        <v>0</v>
      </c>
      <c r="J50" s="346">
        <f t="shared" si="8"/>
        <v>0</v>
      </c>
      <c r="K50" s="346">
        <f t="shared" si="8"/>
        <v>0</v>
      </c>
      <c r="L50" s="346">
        <f t="shared" si="8"/>
        <v>0</v>
      </c>
      <c r="M50" s="346">
        <f t="shared" si="8"/>
        <v>0</v>
      </c>
      <c r="N50" s="346">
        <f>SUM(N47:N49)</f>
        <v>294.496856</v>
      </c>
    </row>
    <row r="51" spans="1:14" s="401" customFormat="1" ht="15.75" customHeight="1">
      <c r="A51" s="408" t="s">
        <v>365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29"/>
    </row>
    <row r="52" spans="1:14" s="401" customFormat="1" ht="15.75" customHeight="1">
      <c r="A52" s="409" t="s">
        <v>11</v>
      </c>
      <c r="B52" s="347">
        <v>0</v>
      </c>
      <c r="C52" s="347">
        <v>0</v>
      </c>
      <c r="D52" s="347">
        <v>0</v>
      </c>
      <c r="E52" s="347">
        <v>0</v>
      </c>
      <c r="F52" s="347">
        <v>0</v>
      </c>
      <c r="G52" s="347">
        <v>500</v>
      </c>
      <c r="H52" s="347">
        <v>0</v>
      </c>
      <c r="I52" s="347">
        <v>0</v>
      </c>
      <c r="J52" s="347">
        <v>0</v>
      </c>
      <c r="K52" s="347">
        <v>0</v>
      </c>
      <c r="L52" s="347">
        <v>0</v>
      </c>
      <c r="M52" s="347">
        <v>0</v>
      </c>
      <c r="N52" s="329">
        <f>SUM(B52:M52)</f>
        <v>500</v>
      </c>
    </row>
    <row r="53" spans="1:14" s="401" customFormat="1" ht="15.75" customHeight="1">
      <c r="A53" s="409" t="s">
        <v>619</v>
      </c>
      <c r="B53" s="347">
        <v>57.5656</v>
      </c>
      <c r="C53" s="347">
        <v>0</v>
      </c>
      <c r="D53" s="347">
        <v>15.2964</v>
      </c>
      <c r="E53" s="347">
        <v>10.1356</v>
      </c>
      <c r="F53" s="347">
        <v>35.328</v>
      </c>
      <c r="G53" s="347">
        <v>20.8448</v>
      </c>
      <c r="H53" s="347">
        <v>0</v>
      </c>
      <c r="I53" s="347">
        <v>0</v>
      </c>
      <c r="J53" s="347">
        <v>0</v>
      </c>
      <c r="K53" s="347">
        <v>0</v>
      </c>
      <c r="L53" s="347">
        <v>0</v>
      </c>
      <c r="M53" s="347">
        <v>0</v>
      </c>
      <c r="N53" s="329">
        <f>SUM(B53:M53)</f>
        <v>139.1704</v>
      </c>
    </row>
    <row r="54" spans="1:14" s="401" customFormat="1" ht="15.75" customHeight="1">
      <c r="A54" s="410" t="s">
        <v>12</v>
      </c>
      <c r="B54" s="347">
        <v>1.09</v>
      </c>
      <c r="C54" s="347">
        <v>0</v>
      </c>
      <c r="D54" s="347">
        <v>0</v>
      </c>
      <c r="E54" s="347">
        <v>0</v>
      </c>
      <c r="F54" s="347">
        <v>48.2538</v>
      </c>
      <c r="G54" s="347">
        <v>0</v>
      </c>
      <c r="H54" s="347">
        <v>0</v>
      </c>
      <c r="I54" s="347">
        <v>0</v>
      </c>
      <c r="J54" s="347">
        <v>0</v>
      </c>
      <c r="K54" s="347">
        <v>0</v>
      </c>
      <c r="L54" s="347">
        <v>0</v>
      </c>
      <c r="M54" s="347">
        <v>0</v>
      </c>
      <c r="N54" s="329">
        <f>SUM(B54:M54)</f>
        <v>49.3438</v>
      </c>
    </row>
    <row r="55" spans="1:14" s="401" customFormat="1" ht="15.75" customHeight="1">
      <c r="A55" s="410" t="s">
        <v>13</v>
      </c>
      <c r="B55" s="347">
        <v>0</v>
      </c>
      <c r="C55" s="347">
        <v>0</v>
      </c>
      <c r="D55" s="347">
        <v>56.75</v>
      </c>
      <c r="E55" s="347">
        <v>0</v>
      </c>
      <c r="F55" s="347">
        <v>60.15</v>
      </c>
      <c r="G55" s="347">
        <v>58.75</v>
      </c>
      <c r="H55" s="347">
        <v>0</v>
      </c>
      <c r="I55" s="347">
        <v>0</v>
      </c>
      <c r="J55" s="347">
        <v>0</v>
      </c>
      <c r="K55" s="347">
        <v>0</v>
      </c>
      <c r="L55" s="347">
        <v>0</v>
      </c>
      <c r="M55" s="347">
        <v>0</v>
      </c>
      <c r="N55" s="329">
        <f>SUM(B55:M55)</f>
        <v>175.65</v>
      </c>
    </row>
    <row r="56" spans="1:14" s="401" customFormat="1" ht="15.75" customHeight="1">
      <c r="A56" s="407" t="s">
        <v>10</v>
      </c>
      <c r="B56" s="346">
        <f>SUM(B52:B55)</f>
        <v>58.65560000000001</v>
      </c>
      <c r="C56" s="346">
        <f aca="true" t="shared" si="9" ref="C56:M56">SUM(C52:C55)</f>
        <v>0</v>
      </c>
      <c r="D56" s="346">
        <f t="shared" si="9"/>
        <v>72.0464</v>
      </c>
      <c r="E56" s="346">
        <f t="shared" si="9"/>
        <v>10.1356</v>
      </c>
      <c r="F56" s="346">
        <f t="shared" si="9"/>
        <v>143.7318</v>
      </c>
      <c r="G56" s="346">
        <f t="shared" si="9"/>
        <v>579.5948</v>
      </c>
      <c r="H56" s="346">
        <f t="shared" si="9"/>
        <v>0</v>
      </c>
      <c r="I56" s="346">
        <f t="shared" si="9"/>
        <v>0</v>
      </c>
      <c r="J56" s="346">
        <f t="shared" si="9"/>
        <v>0</v>
      </c>
      <c r="K56" s="346">
        <f t="shared" si="9"/>
        <v>0</v>
      </c>
      <c r="L56" s="346">
        <f t="shared" si="9"/>
        <v>0</v>
      </c>
      <c r="M56" s="346">
        <f t="shared" si="9"/>
        <v>0</v>
      </c>
      <c r="N56" s="346">
        <f>SUM(N52:N55)</f>
        <v>864.1641999999999</v>
      </c>
    </row>
    <row r="57" spans="1:14" s="401" customFormat="1" ht="15.75" customHeight="1">
      <c r="A57" s="54" t="s">
        <v>14</v>
      </c>
      <c r="B57" s="346">
        <f aca="true" t="shared" si="10" ref="B57:M57">B56+B50+B45</f>
        <v>504.5940248</v>
      </c>
      <c r="C57" s="346">
        <f t="shared" si="10"/>
        <v>534.2506671</v>
      </c>
      <c r="D57" s="346">
        <f t="shared" si="10"/>
        <v>623.10620467</v>
      </c>
      <c r="E57" s="346">
        <f t="shared" si="10"/>
        <v>570.03010233</v>
      </c>
      <c r="F57" s="346">
        <f t="shared" si="10"/>
        <v>727.843166635</v>
      </c>
      <c r="G57" s="346">
        <f t="shared" si="10"/>
        <v>1195.297747561</v>
      </c>
      <c r="H57" s="346">
        <f t="shared" si="10"/>
        <v>0</v>
      </c>
      <c r="I57" s="346">
        <f t="shared" si="10"/>
        <v>0</v>
      </c>
      <c r="J57" s="346">
        <f t="shared" si="10"/>
        <v>0</v>
      </c>
      <c r="K57" s="346">
        <f t="shared" si="10"/>
        <v>0</v>
      </c>
      <c r="L57" s="346">
        <f t="shared" si="10"/>
        <v>0</v>
      </c>
      <c r="M57" s="346">
        <f t="shared" si="10"/>
        <v>0</v>
      </c>
      <c r="N57" s="346">
        <f>N56+N50+N45</f>
        <v>4155.121913096</v>
      </c>
    </row>
    <row r="58" spans="1:14" s="401" customFormat="1" ht="15.75" customHeight="1">
      <c r="A58" s="27" t="s">
        <v>15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29"/>
    </row>
    <row r="59" spans="1:14" s="401" customFormat="1" ht="15.75" customHeight="1">
      <c r="A59" s="410" t="s">
        <v>170</v>
      </c>
      <c r="B59" s="347">
        <v>459.1427000000001</v>
      </c>
      <c r="C59" s="347">
        <v>401.3680180999999</v>
      </c>
      <c r="D59" s="347">
        <v>457.5112550999999</v>
      </c>
      <c r="E59" s="347">
        <v>473.15287480000006</v>
      </c>
      <c r="F59" s="347">
        <v>419.6664</v>
      </c>
      <c r="G59" s="347">
        <v>754.1762516000002</v>
      </c>
      <c r="H59" s="347">
        <v>0</v>
      </c>
      <c r="I59" s="347">
        <v>0</v>
      </c>
      <c r="J59" s="347">
        <v>0</v>
      </c>
      <c r="K59" s="347">
        <v>0</v>
      </c>
      <c r="L59" s="347">
        <v>0</v>
      </c>
      <c r="M59" s="347">
        <v>0</v>
      </c>
      <c r="N59" s="329">
        <f aca="true" t="shared" si="11" ref="N59:N67">SUM(B59:M59)</f>
        <v>2965.0174996000005</v>
      </c>
    </row>
    <row r="60" spans="1:14" s="401" customFormat="1" ht="15.75" customHeight="1">
      <c r="A60" s="410" t="s">
        <v>366</v>
      </c>
      <c r="B60" s="347">
        <v>6.3726</v>
      </c>
      <c r="C60" s="347">
        <v>8.898900000000001</v>
      </c>
      <c r="D60" s="347">
        <v>43.7886</v>
      </c>
      <c r="E60" s="347">
        <v>23.2956</v>
      </c>
      <c r="F60" s="347">
        <v>11.6783</v>
      </c>
      <c r="G60" s="347">
        <v>7.5360000000000005</v>
      </c>
      <c r="H60" s="347">
        <v>0</v>
      </c>
      <c r="I60" s="347">
        <v>0</v>
      </c>
      <c r="J60" s="347">
        <v>0</v>
      </c>
      <c r="K60" s="347">
        <v>0</v>
      </c>
      <c r="L60" s="347">
        <v>0</v>
      </c>
      <c r="M60" s="347">
        <v>0</v>
      </c>
      <c r="N60" s="329">
        <f t="shared" si="11"/>
        <v>101.57000000000002</v>
      </c>
    </row>
    <row r="61" spans="1:14" s="401" customFormat="1" ht="15.75" customHeight="1">
      <c r="A61" s="410" t="s">
        <v>16</v>
      </c>
      <c r="B61" s="347">
        <v>0.25</v>
      </c>
      <c r="C61" s="347">
        <v>0.3</v>
      </c>
      <c r="D61" s="347">
        <v>0.3</v>
      </c>
      <c r="E61" s="347">
        <v>0.3</v>
      </c>
      <c r="F61" s="347">
        <v>0.4464</v>
      </c>
      <c r="G61" s="347">
        <v>0.3</v>
      </c>
      <c r="H61" s="347">
        <v>0</v>
      </c>
      <c r="I61" s="347">
        <v>0</v>
      </c>
      <c r="J61" s="347">
        <v>0</v>
      </c>
      <c r="K61" s="347">
        <v>0</v>
      </c>
      <c r="L61" s="347">
        <v>0</v>
      </c>
      <c r="M61" s="347">
        <v>0</v>
      </c>
      <c r="N61" s="329">
        <f t="shared" si="11"/>
        <v>1.8964</v>
      </c>
    </row>
    <row r="62" spans="1:14" s="401" customFormat="1" ht="15.75" customHeight="1">
      <c r="A62" s="410" t="s">
        <v>118</v>
      </c>
      <c r="B62" s="347">
        <v>1.6</v>
      </c>
      <c r="C62" s="347">
        <v>0.35</v>
      </c>
      <c r="D62" s="347">
        <v>0.7</v>
      </c>
      <c r="E62" s="347">
        <v>0.15</v>
      </c>
      <c r="F62" s="347">
        <v>0.75</v>
      </c>
      <c r="G62" s="347">
        <v>0.35</v>
      </c>
      <c r="H62" s="347">
        <v>0</v>
      </c>
      <c r="I62" s="347">
        <v>0</v>
      </c>
      <c r="J62" s="347">
        <v>0</v>
      </c>
      <c r="K62" s="347">
        <v>0</v>
      </c>
      <c r="L62" s="347">
        <v>0</v>
      </c>
      <c r="M62" s="347">
        <v>0</v>
      </c>
      <c r="N62" s="329">
        <f t="shared" si="11"/>
        <v>3.9000000000000004</v>
      </c>
    </row>
    <row r="63" spans="1:14" s="401" customFormat="1" ht="15.75" customHeight="1">
      <c r="A63" s="410" t="s">
        <v>17</v>
      </c>
      <c r="B63" s="347">
        <v>19.4</v>
      </c>
      <c r="C63" s="347">
        <v>63.4100001</v>
      </c>
      <c r="D63" s="347">
        <v>55.5100001</v>
      </c>
      <c r="E63" s="347">
        <v>58.4100001</v>
      </c>
      <c r="F63" s="347">
        <v>47.7767001</v>
      </c>
      <c r="G63" s="347">
        <v>274.8533001</v>
      </c>
      <c r="H63" s="347">
        <v>0</v>
      </c>
      <c r="I63" s="347">
        <v>0</v>
      </c>
      <c r="J63" s="347">
        <v>0</v>
      </c>
      <c r="K63" s="347">
        <v>0</v>
      </c>
      <c r="L63" s="347">
        <v>0</v>
      </c>
      <c r="M63" s="347">
        <v>0</v>
      </c>
      <c r="N63" s="329">
        <f t="shared" si="11"/>
        <v>519.3600005</v>
      </c>
    </row>
    <row r="64" spans="1:14" s="401" customFormat="1" ht="15.75" customHeight="1">
      <c r="A64" s="410" t="s">
        <v>18</v>
      </c>
      <c r="B64" s="347">
        <v>7.3782813</v>
      </c>
      <c r="C64" s="347">
        <v>28.5967519</v>
      </c>
      <c r="D64" s="347">
        <v>34.3832316</v>
      </c>
      <c r="E64" s="347">
        <v>23.4619947</v>
      </c>
      <c r="F64" s="347">
        <v>24.3326697</v>
      </c>
      <c r="G64" s="347">
        <v>35.955199899999975</v>
      </c>
      <c r="H64" s="347">
        <v>0</v>
      </c>
      <c r="I64" s="347">
        <v>0</v>
      </c>
      <c r="J64" s="347">
        <v>0</v>
      </c>
      <c r="K64" s="347">
        <v>0</v>
      </c>
      <c r="L64" s="347">
        <v>0</v>
      </c>
      <c r="M64" s="347">
        <v>0</v>
      </c>
      <c r="N64" s="329">
        <f t="shared" si="11"/>
        <v>154.10812909999999</v>
      </c>
    </row>
    <row r="65" spans="1:14" s="401" customFormat="1" ht="15.75" customHeight="1">
      <c r="A65" s="410" t="s">
        <v>620</v>
      </c>
      <c r="B65" s="347">
        <v>9.9326</v>
      </c>
      <c r="C65" s="347">
        <v>42.7501</v>
      </c>
      <c r="D65" s="347">
        <v>24.3418</v>
      </c>
      <c r="E65" s="347">
        <v>12.3604</v>
      </c>
      <c r="F65" s="347">
        <v>29.348300000000002</v>
      </c>
      <c r="G65" s="347">
        <v>14.0084</v>
      </c>
      <c r="H65" s="347">
        <v>0</v>
      </c>
      <c r="I65" s="347">
        <v>0</v>
      </c>
      <c r="J65" s="347">
        <v>0</v>
      </c>
      <c r="K65" s="347">
        <v>0</v>
      </c>
      <c r="L65" s="347">
        <v>0</v>
      </c>
      <c r="M65" s="347">
        <v>0</v>
      </c>
      <c r="N65" s="329">
        <f t="shared" si="11"/>
        <v>132.7416</v>
      </c>
    </row>
    <row r="66" spans="1:14" s="401" customFormat="1" ht="15.75" customHeight="1">
      <c r="A66" s="410" t="s">
        <v>19</v>
      </c>
      <c r="B66" s="347">
        <v>0</v>
      </c>
      <c r="C66" s="347">
        <v>0</v>
      </c>
      <c r="D66" s="347">
        <v>0</v>
      </c>
      <c r="E66" s="347">
        <v>0</v>
      </c>
      <c r="F66" s="347">
        <v>47.2538</v>
      </c>
      <c r="G66" s="347">
        <v>1.05</v>
      </c>
      <c r="H66" s="347">
        <v>0</v>
      </c>
      <c r="I66" s="347">
        <v>0</v>
      </c>
      <c r="J66" s="347">
        <v>0</v>
      </c>
      <c r="K66" s="347">
        <v>0</v>
      </c>
      <c r="L66" s="347">
        <v>0</v>
      </c>
      <c r="M66" s="347">
        <v>0</v>
      </c>
      <c r="N66" s="329">
        <f t="shared" si="11"/>
        <v>48.303799999999995</v>
      </c>
    </row>
    <row r="67" spans="1:14" s="401" customFormat="1" ht="15.75" customHeight="1">
      <c r="A67" s="410" t="s">
        <v>20</v>
      </c>
      <c r="B67" s="347">
        <v>0</v>
      </c>
      <c r="C67" s="347">
        <v>0</v>
      </c>
      <c r="D67" s="347">
        <v>0</v>
      </c>
      <c r="E67" s="347">
        <v>0</v>
      </c>
      <c r="F67" s="347">
        <v>58.3635</v>
      </c>
      <c r="G67" s="347">
        <v>61.0449</v>
      </c>
      <c r="H67" s="347">
        <v>0</v>
      </c>
      <c r="I67" s="347">
        <v>0</v>
      </c>
      <c r="J67" s="347">
        <v>0</v>
      </c>
      <c r="K67" s="347">
        <v>0</v>
      </c>
      <c r="L67" s="347">
        <v>0</v>
      </c>
      <c r="M67" s="347">
        <v>0</v>
      </c>
      <c r="N67" s="329">
        <f t="shared" si="11"/>
        <v>119.4084</v>
      </c>
    </row>
    <row r="68" spans="1:14" s="401" customFormat="1" ht="15.75" customHeight="1">
      <c r="A68" s="27" t="s">
        <v>21</v>
      </c>
      <c r="B68" s="346">
        <f>SUM(B59:B67)</f>
        <v>504.0761813000001</v>
      </c>
      <c r="C68" s="346">
        <f aca="true" t="shared" si="12" ref="C68:M68">SUM(C59:C67)</f>
        <v>545.6737701</v>
      </c>
      <c r="D68" s="346">
        <f t="shared" si="12"/>
        <v>616.5348868</v>
      </c>
      <c r="E68" s="346">
        <f t="shared" si="12"/>
        <v>591.1308696000001</v>
      </c>
      <c r="F68" s="346">
        <f t="shared" si="12"/>
        <v>639.6160698</v>
      </c>
      <c r="G68" s="346">
        <f t="shared" si="12"/>
        <v>1149.2740516000001</v>
      </c>
      <c r="H68" s="346">
        <f t="shared" si="12"/>
        <v>0</v>
      </c>
      <c r="I68" s="346">
        <f t="shared" si="12"/>
        <v>0</v>
      </c>
      <c r="J68" s="346">
        <f t="shared" si="12"/>
        <v>0</v>
      </c>
      <c r="K68" s="346">
        <f t="shared" si="12"/>
        <v>0</v>
      </c>
      <c r="L68" s="346">
        <f t="shared" si="12"/>
        <v>0</v>
      </c>
      <c r="M68" s="346">
        <f t="shared" si="12"/>
        <v>0</v>
      </c>
      <c r="N68" s="346">
        <f>SUM(N59:N67)</f>
        <v>4046.3058292000005</v>
      </c>
    </row>
    <row r="69" spans="1:14" s="401" customFormat="1" ht="15.75" customHeight="1">
      <c r="A69" s="27" t="s">
        <v>38</v>
      </c>
      <c r="B69" s="346">
        <f aca="true" t="shared" si="13" ref="B69:M69">B38+B57-B68</f>
        <v>-216.30215650000008</v>
      </c>
      <c r="C69" s="346">
        <f t="shared" si="13"/>
        <v>-227.72525950000005</v>
      </c>
      <c r="D69" s="346">
        <f t="shared" si="13"/>
        <v>-221.15394163000002</v>
      </c>
      <c r="E69" s="346">
        <f t="shared" si="13"/>
        <v>-242.25470890000003</v>
      </c>
      <c r="F69" s="346">
        <f t="shared" si="13"/>
        <v>-154.02761206500003</v>
      </c>
      <c r="G69" s="346">
        <f t="shared" si="13"/>
        <v>-108.00391610400015</v>
      </c>
      <c r="H69" s="346">
        <f t="shared" si="13"/>
        <v>-108.00391610400015</v>
      </c>
      <c r="I69" s="346">
        <f t="shared" si="13"/>
        <v>-108.00391610400015</v>
      </c>
      <c r="J69" s="346">
        <f t="shared" si="13"/>
        <v>-108.00391610400015</v>
      </c>
      <c r="K69" s="346">
        <f t="shared" si="13"/>
        <v>-108.00391610400015</v>
      </c>
      <c r="L69" s="346">
        <f t="shared" si="13"/>
        <v>-108.00391610400015</v>
      </c>
      <c r="M69" s="346">
        <f t="shared" si="13"/>
        <v>-108.00391610400015</v>
      </c>
      <c r="N69" s="346">
        <f>N38+N57-N68</f>
        <v>-108.00391610400084</v>
      </c>
    </row>
  </sheetData>
  <sheetProtection/>
  <mergeCells count="5">
    <mergeCell ref="A4:N4"/>
    <mergeCell ref="A1:N1"/>
    <mergeCell ref="A2:N2"/>
    <mergeCell ref="A3:N3"/>
    <mergeCell ref="A36:N36"/>
  </mergeCells>
  <printOptions horizontalCentered="1"/>
  <pageMargins left="0.2362204724409449" right="0.1968503937007874" top="0.5511811023622047" bottom="0.5511811023622047" header="0.4724409448818898" footer="0.2362204724409449"/>
  <pageSetup horizontalDpi="600" verticalDpi="600" orientation="landscape" paperSize="9" scale="85" r:id="rId1"/>
  <headerFooter alignWithMargins="0">
    <oddFooter>&amp;L&amp;F-&amp;A&amp;CPage-&amp;P of &amp;P&amp;R&amp;D</oddFooter>
  </headerFooter>
  <rowBreaks count="1" manualBreakCount="1">
    <brk id="3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7.140625" style="2" bestFit="1" customWidth="1"/>
    <col min="2" max="2" width="36.421875" style="2" bestFit="1" customWidth="1"/>
    <col min="3" max="3" width="15.421875" style="2" bestFit="1" customWidth="1"/>
    <col min="4" max="4" width="13.28125" style="2" bestFit="1" customWidth="1"/>
    <col min="5" max="5" width="13.140625" style="2" bestFit="1" customWidth="1"/>
    <col min="6" max="7" width="15.421875" style="2" bestFit="1" customWidth="1"/>
    <col min="8" max="8" width="10.421875" style="2" bestFit="1" customWidth="1"/>
    <col min="9" max="9" width="13.140625" style="2" bestFit="1" customWidth="1"/>
    <col min="10" max="11" width="15.421875" style="2" bestFit="1" customWidth="1"/>
    <col min="12" max="12" width="10.421875" style="2" bestFit="1" customWidth="1"/>
    <col min="13" max="13" width="13.140625" style="2" bestFit="1" customWidth="1"/>
    <col min="14" max="14" width="15.421875" style="2" bestFit="1" customWidth="1"/>
    <col min="15" max="16384" width="9.140625" style="2" customWidth="1"/>
  </cols>
  <sheetData>
    <row r="1" spans="1:14" s="6" customFormat="1" ht="21" customHeight="1">
      <c r="A1" s="453" t="s">
        <v>302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14" s="6" customFormat="1" ht="21" customHeight="1">
      <c r="A2" s="454" t="s">
        <v>169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 s="6" customFormat="1" ht="21" customHeight="1">
      <c r="A3" s="455" t="s">
        <v>84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ht="23.25" customHeight="1">
      <c r="A4" s="467" t="s">
        <v>37</v>
      </c>
      <c r="B4" s="467" t="s">
        <v>39</v>
      </c>
      <c r="C4" s="466" t="s">
        <v>604</v>
      </c>
      <c r="D4" s="466"/>
      <c r="E4" s="466"/>
      <c r="F4" s="466"/>
      <c r="G4" s="466" t="s">
        <v>605</v>
      </c>
      <c r="H4" s="466"/>
      <c r="I4" s="466"/>
      <c r="J4" s="466"/>
      <c r="K4" s="466" t="s">
        <v>606</v>
      </c>
      <c r="L4" s="466"/>
      <c r="M4" s="466"/>
      <c r="N4" s="466"/>
    </row>
    <row r="5" spans="1:14" ht="23.25" customHeight="1">
      <c r="A5" s="467"/>
      <c r="B5" s="467"/>
      <c r="C5" s="7" t="s">
        <v>187</v>
      </c>
      <c r="D5" s="7" t="s">
        <v>184</v>
      </c>
      <c r="E5" s="7" t="s">
        <v>185</v>
      </c>
      <c r="F5" s="7" t="s">
        <v>186</v>
      </c>
      <c r="G5" s="7" t="s">
        <v>187</v>
      </c>
      <c r="H5" s="7" t="s">
        <v>184</v>
      </c>
      <c r="I5" s="7" t="s">
        <v>185</v>
      </c>
      <c r="J5" s="7" t="s">
        <v>186</v>
      </c>
      <c r="K5" s="7" t="s">
        <v>187</v>
      </c>
      <c r="L5" s="7" t="s">
        <v>184</v>
      </c>
      <c r="M5" s="7" t="s">
        <v>185</v>
      </c>
      <c r="N5" s="7" t="s">
        <v>186</v>
      </c>
    </row>
    <row r="6" spans="1:14" ht="27" customHeight="1">
      <c r="A6" s="9">
        <v>1</v>
      </c>
      <c r="B6" s="4" t="s">
        <v>188</v>
      </c>
      <c r="C6" s="211">
        <v>1000</v>
      </c>
      <c r="D6" s="211">
        <v>0</v>
      </c>
      <c r="E6" s="211">
        <v>0</v>
      </c>
      <c r="F6" s="211">
        <f>C6+D6-E6</f>
        <v>1000</v>
      </c>
      <c r="G6" s="211">
        <v>1000</v>
      </c>
      <c r="H6" s="211">
        <v>0</v>
      </c>
      <c r="I6" s="211">
        <v>0</v>
      </c>
      <c r="J6" s="211">
        <f>G6+H6-I6</f>
        <v>1000</v>
      </c>
      <c r="K6" s="211">
        <v>1000</v>
      </c>
      <c r="L6" s="211">
        <v>0</v>
      </c>
      <c r="M6" s="211">
        <v>0</v>
      </c>
      <c r="N6" s="211">
        <f>K6+L6-M6</f>
        <v>1000</v>
      </c>
    </row>
    <row r="7" spans="1:14" ht="27" customHeight="1">
      <c r="A7" s="9">
        <v>2</v>
      </c>
      <c r="B7" s="5" t="s">
        <v>189</v>
      </c>
      <c r="C7" s="210">
        <v>10000000</v>
      </c>
      <c r="D7" s="213">
        <v>0</v>
      </c>
      <c r="E7" s="212">
        <v>0</v>
      </c>
      <c r="F7" s="213">
        <f aca="true" t="shared" si="0" ref="F7:F16">C7+D7-E7</f>
        <v>10000000</v>
      </c>
      <c r="G7" s="210">
        <v>10000000</v>
      </c>
      <c r="H7" s="213">
        <v>0</v>
      </c>
      <c r="I7" s="212">
        <v>0</v>
      </c>
      <c r="J7" s="213">
        <f aca="true" t="shared" si="1" ref="J7:J16">G7+H7-I7</f>
        <v>10000000</v>
      </c>
      <c r="K7" s="210">
        <v>10000000</v>
      </c>
      <c r="L7" s="211">
        <v>0</v>
      </c>
      <c r="M7" s="212">
        <v>0</v>
      </c>
      <c r="N7" s="213">
        <f aca="true" t="shared" si="2" ref="N7:N16">K7+L7-M7</f>
        <v>10000000</v>
      </c>
    </row>
    <row r="8" spans="1:14" ht="27" customHeight="1">
      <c r="A8" s="9">
        <v>3</v>
      </c>
      <c r="B8" s="4" t="s">
        <v>190</v>
      </c>
      <c r="C8" s="211">
        <v>576.7114</v>
      </c>
      <c r="D8" s="211">
        <v>0</v>
      </c>
      <c r="E8" s="211">
        <v>0</v>
      </c>
      <c r="F8" s="211">
        <f t="shared" si="0"/>
        <v>576.7114</v>
      </c>
      <c r="G8" s="211">
        <v>576.7114</v>
      </c>
      <c r="H8" s="213">
        <v>0</v>
      </c>
      <c r="I8" s="211">
        <v>0</v>
      </c>
      <c r="J8" s="211">
        <f t="shared" si="1"/>
        <v>576.7114</v>
      </c>
      <c r="K8" s="211">
        <v>576.7114</v>
      </c>
      <c r="L8" s="211">
        <v>0</v>
      </c>
      <c r="M8" s="211">
        <v>0</v>
      </c>
      <c r="N8" s="211">
        <f t="shared" si="2"/>
        <v>576.7114</v>
      </c>
    </row>
    <row r="9" spans="1:14" ht="27" customHeight="1">
      <c r="A9" s="9">
        <v>4</v>
      </c>
      <c r="B9" s="5" t="s">
        <v>189</v>
      </c>
      <c r="C9" s="209">
        <v>5767114</v>
      </c>
      <c r="D9" s="213">
        <v>0</v>
      </c>
      <c r="E9" s="212">
        <v>0</v>
      </c>
      <c r="F9" s="213">
        <f t="shared" si="0"/>
        <v>5767114</v>
      </c>
      <c r="G9" s="209">
        <v>5767114</v>
      </c>
      <c r="H9" s="213">
        <v>0</v>
      </c>
      <c r="I9" s="212">
        <v>0</v>
      </c>
      <c r="J9" s="213">
        <f t="shared" si="1"/>
        <v>5767114</v>
      </c>
      <c r="K9" s="209">
        <v>5767114</v>
      </c>
      <c r="L9" s="211">
        <v>0</v>
      </c>
      <c r="M9" s="212">
        <v>0</v>
      </c>
      <c r="N9" s="213">
        <f t="shared" si="2"/>
        <v>5767114</v>
      </c>
    </row>
    <row r="10" spans="1:14" s="3" customFormat="1" ht="27" customHeight="1">
      <c r="A10" s="9">
        <v>5</v>
      </c>
      <c r="B10" s="4" t="s">
        <v>191</v>
      </c>
      <c r="C10" s="211">
        <v>576.7114</v>
      </c>
      <c r="D10" s="211">
        <v>0</v>
      </c>
      <c r="E10" s="211">
        <v>0</v>
      </c>
      <c r="F10" s="211">
        <f t="shared" si="0"/>
        <v>576.7114</v>
      </c>
      <c r="G10" s="211">
        <v>576.7114</v>
      </c>
      <c r="H10" s="213">
        <v>0</v>
      </c>
      <c r="I10" s="211">
        <v>0</v>
      </c>
      <c r="J10" s="211">
        <f t="shared" si="1"/>
        <v>576.7114</v>
      </c>
      <c r="K10" s="211">
        <v>576.7114</v>
      </c>
      <c r="L10" s="211">
        <v>0</v>
      </c>
      <c r="M10" s="211">
        <v>0</v>
      </c>
      <c r="N10" s="211">
        <f t="shared" si="2"/>
        <v>576.7114</v>
      </c>
    </row>
    <row r="11" spans="1:14" ht="27" customHeight="1">
      <c r="A11" s="9">
        <v>6</v>
      </c>
      <c r="B11" s="5" t="s">
        <v>189</v>
      </c>
      <c r="C11" s="209">
        <v>5767114</v>
      </c>
      <c r="D11" s="213">
        <v>0</v>
      </c>
      <c r="E11" s="212">
        <v>0</v>
      </c>
      <c r="F11" s="213">
        <f t="shared" si="0"/>
        <v>5767114</v>
      </c>
      <c r="G11" s="209">
        <v>5767114</v>
      </c>
      <c r="H11" s="213">
        <v>0</v>
      </c>
      <c r="I11" s="212">
        <v>0</v>
      </c>
      <c r="J11" s="213">
        <f t="shared" si="1"/>
        <v>5767114</v>
      </c>
      <c r="K11" s="209">
        <v>5767114</v>
      </c>
      <c r="L11" s="211">
        <v>0</v>
      </c>
      <c r="M11" s="212">
        <v>0</v>
      </c>
      <c r="N11" s="213">
        <f t="shared" si="2"/>
        <v>5767114</v>
      </c>
    </row>
    <row r="12" spans="1:14" s="3" customFormat="1" ht="27" customHeight="1">
      <c r="A12" s="9">
        <v>7</v>
      </c>
      <c r="B12" s="4" t="s">
        <v>192</v>
      </c>
      <c r="C12" s="211">
        <v>576.7114</v>
      </c>
      <c r="D12" s="211">
        <v>0</v>
      </c>
      <c r="E12" s="211">
        <v>0</v>
      </c>
      <c r="F12" s="211">
        <f t="shared" si="0"/>
        <v>576.7114</v>
      </c>
      <c r="G12" s="211">
        <v>576.7114</v>
      </c>
      <c r="H12" s="213">
        <v>0</v>
      </c>
      <c r="I12" s="211">
        <v>0</v>
      </c>
      <c r="J12" s="211">
        <f t="shared" si="1"/>
        <v>576.7114</v>
      </c>
      <c r="K12" s="211">
        <v>576.7114</v>
      </c>
      <c r="L12" s="211">
        <v>0</v>
      </c>
      <c r="M12" s="211">
        <v>0</v>
      </c>
      <c r="N12" s="211">
        <f t="shared" si="2"/>
        <v>576.7114</v>
      </c>
    </row>
    <row r="13" spans="1:14" ht="27" customHeight="1">
      <c r="A13" s="9">
        <v>8</v>
      </c>
      <c r="B13" s="5" t="s">
        <v>189</v>
      </c>
      <c r="C13" s="209">
        <v>5767114</v>
      </c>
      <c r="D13" s="213">
        <v>0</v>
      </c>
      <c r="E13" s="212">
        <v>0</v>
      </c>
      <c r="F13" s="213">
        <f t="shared" si="0"/>
        <v>5767114</v>
      </c>
      <c r="G13" s="209">
        <v>5767114</v>
      </c>
      <c r="H13" s="213">
        <v>0</v>
      </c>
      <c r="I13" s="212">
        <v>0</v>
      </c>
      <c r="J13" s="213">
        <f t="shared" si="1"/>
        <v>5767114</v>
      </c>
      <c r="K13" s="209">
        <v>5767114</v>
      </c>
      <c r="L13" s="211">
        <v>0</v>
      </c>
      <c r="M13" s="212">
        <v>0</v>
      </c>
      <c r="N13" s="213">
        <f t="shared" si="2"/>
        <v>5767114</v>
      </c>
    </row>
    <row r="14" spans="1:14" s="3" customFormat="1" ht="27" customHeight="1">
      <c r="A14" s="9">
        <v>9</v>
      </c>
      <c r="B14" s="4" t="s">
        <v>193</v>
      </c>
      <c r="C14" s="211">
        <v>576.7114</v>
      </c>
      <c r="D14" s="211">
        <v>0</v>
      </c>
      <c r="E14" s="211">
        <v>0</v>
      </c>
      <c r="F14" s="211">
        <f t="shared" si="0"/>
        <v>576.7114</v>
      </c>
      <c r="G14" s="211">
        <v>576.7114</v>
      </c>
      <c r="H14" s="213">
        <v>0</v>
      </c>
      <c r="I14" s="211">
        <v>0</v>
      </c>
      <c r="J14" s="211">
        <f t="shared" si="1"/>
        <v>576.7114</v>
      </c>
      <c r="K14" s="211">
        <v>576.7114</v>
      </c>
      <c r="L14" s="211">
        <v>0</v>
      </c>
      <c r="M14" s="211">
        <v>0</v>
      </c>
      <c r="N14" s="211">
        <f t="shared" si="2"/>
        <v>576.7114</v>
      </c>
    </row>
    <row r="15" spans="1:14" ht="27" customHeight="1">
      <c r="A15" s="9">
        <v>10</v>
      </c>
      <c r="B15" s="5" t="s">
        <v>189</v>
      </c>
      <c r="C15" s="209">
        <v>5767114</v>
      </c>
      <c r="D15" s="213">
        <v>0</v>
      </c>
      <c r="E15" s="212">
        <v>0</v>
      </c>
      <c r="F15" s="213">
        <f t="shared" si="0"/>
        <v>5767114</v>
      </c>
      <c r="G15" s="209">
        <v>5767114</v>
      </c>
      <c r="H15" s="213">
        <v>0</v>
      </c>
      <c r="I15" s="212">
        <v>0</v>
      </c>
      <c r="J15" s="213">
        <f t="shared" si="1"/>
        <v>5767114</v>
      </c>
      <c r="K15" s="209">
        <v>5767114</v>
      </c>
      <c r="L15" s="211">
        <v>0</v>
      </c>
      <c r="M15" s="212">
        <v>0</v>
      </c>
      <c r="N15" s="213">
        <f t="shared" si="2"/>
        <v>5767114</v>
      </c>
    </row>
    <row r="16" spans="1:14" ht="27" customHeight="1">
      <c r="A16" s="9">
        <v>11</v>
      </c>
      <c r="B16" s="4" t="s">
        <v>194</v>
      </c>
      <c r="C16" s="211">
        <v>576.7114</v>
      </c>
      <c r="D16" s="211">
        <v>0</v>
      </c>
      <c r="E16" s="211">
        <v>0</v>
      </c>
      <c r="F16" s="211">
        <f t="shared" si="0"/>
        <v>576.7114</v>
      </c>
      <c r="G16" s="211">
        <v>576.7114</v>
      </c>
      <c r="H16" s="213">
        <v>0</v>
      </c>
      <c r="I16" s="211">
        <v>0</v>
      </c>
      <c r="J16" s="211">
        <f t="shared" si="1"/>
        <v>576.7114</v>
      </c>
      <c r="K16" s="211">
        <v>576.7114</v>
      </c>
      <c r="L16" s="211">
        <v>0</v>
      </c>
      <c r="M16" s="211">
        <v>0</v>
      </c>
      <c r="N16" s="211">
        <f t="shared" si="2"/>
        <v>576.7114</v>
      </c>
    </row>
    <row r="20" ht="15">
      <c r="E20" s="209"/>
    </row>
    <row r="21" ht="15">
      <c r="E21" s="209"/>
    </row>
  </sheetData>
  <sheetProtection/>
  <mergeCells count="8">
    <mergeCell ref="A1:N1"/>
    <mergeCell ref="C4:F4"/>
    <mergeCell ref="B4:B5"/>
    <mergeCell ref="A4:A5"/>
    <mergeCell ref="A3:N3"/>
    <mergeCell ref="A2:N2"/>
    <mergeCell ref="G4:J4"/>
    <mergeCell ref="K4:N4"/>
  </mergeCells>
  <printOptions horizontalCentered="1"/>
  <pageMargins left="0.61" right="0.51" top="0.32" bottom="0.36" header="0.2" footer="0.13"/>
  <pageSetup fitToHeight="1" fitToWidth="1" horizontalDpi="300" verticalDpi="300" orientation="landscape" paperSize="9" scale="65" r:id="rId1"/>
  <headerFooter alignWithMargins="0">
    <oddFooter>&amp;L&amp;F-&amp;A&amp;CPage-&amp;P of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o.e.r.c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banshi</cp:lastModifiedBy>
  <cp:lastPrinted>2014-11-29T13:25:27Z</cp:lastPrinted>
  <dcterms:created xsi:type="dcterms:W3CDTF">2000-06-21T04:56:29Z</dcterms:created>
  <dcterms:modified xsi:type="dcterms:W3CDTF">2014-12-01T07:47:49Z</dcterms:modified>
  <cp:category/>
  <cp:version/>
  <cp:contentType/>
  <cp:contentStatus/>
</cp:coreProperties>
</file>